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JDO\jdo\refs cvs papers\1 current send 121212\2017 current\preprint pkg\Email\quicksend\quickquick\LinkedIn Posts\"/>
    </mc:Choice>
  </mc:AlternateContent>
  <xr:revisionPtr revIDLastSave="0" documentId="13_ncr:2001_{7CF473D5-FA4D-4463-9F87-5C2C16C723DE}" xr6:coauthVersionLast="47" xr6:coauthVersionMax="47" xr10:uidLastSave="{00000000-0000-0000-0000-000000000000}"/>
  <workbookProtection workbookAlgorithmName="SHA-512" workbookHashValue="m6zj3+Mv8HR2UjjrFghoi+sM8RbCArIWKh5IQk5PbRSRNWcr92sESbCqSmttT5xNYGsHFMnKiVhDavaQwYaOQw==" workbookSaltValue="vz4irv1+ki+MDg6HXz6ZUw==" workbookSpinCount="100000" lockStructure="1"/>
  <bookViews>
    <workbookView xWindow="-108" yWindow="-108" windowWidth="30936" windowHeight="16776" xr2:uid="{5BFC0218-5CB8-4664-AA20-D744D60DC967}"/>
  </bookViews>
  <sheets>
    <sheet name="JD Opdyke (2022)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8" i="1" l="1"/>
  <c r="Z44" i="1" l="1"/>
  <c r="Z36" i="1"/>
  <c r="C34" i="1"/>
  <c r="H37" i="1" s="1"/>
  <c r="I38" i="1" l="1"/>
  <c r="I40" i="1"/>
  <c r="E37" i="1"/>
  <c r="I39" i="1"/>
  <c r="I47" i="1" s="1"/>
  <c r="H39" i="1"/>
  <c r="H47" i="1" s="1"/>
  <c r="H38" i="1"/>
  <c r="H40" i="1"/>
  <c r="K40" i="1"/>
  <c r="J39" i="1"/>
  <c r="J40" i="1"/>
  <c r="I46" i="1" l="1"/>
  <c r="J45" i="1" s="1"/>
  <c r="I48" i="1"/>
  <c r="L45" i="1" s="1"/>
  <c r="H46" i="1"/>
  <c r="J48" i="1"/>
  <c r="L46" i="1" s="1"/>
  <c r="H48" i="1"/>
  <c r="L44" i="1" s="1"/>
  <c r="H45" i="1"/>
  <c r="J47" i="1"/>
  <c r="K48" i="1"/>
  <c r="N47" i="1"/>
  <c r="T47" i="1" s="1"/>
  <c r="P48" i="1" l="1"/>
  <c r="O46" i="1"/>
  <c r="Q48" i="1"/>
  <c r="O48" i="1"/>
  <c r="N48" i="1"/>
  <c r="T48" i="1" s="1"/>
  <c r="N46" i="1"/>
  <c r="T46" i="1" s="1"/>
  <c r="J44" i="1"/>
  <c r="O47" i="1"/>
  <c r="U47" i="1" s="1"/>
  <c r="K45" i="1"/>
  <c r="I44" i="1"/>
  <c r="P47" i="1"/>
  <c r="K44" i="1"/>
  <c r="N45" i="1"/>
  <c r="T45" i="1" s="1"/>
  <c r="H43" i="1"/>
  <c r="K46" i="1"/>
  <c r="L47" i="1"/>
  <c r="AF45" i="1" l="1"/>
  <c r="AH45" i="1"/>
  <c r="U48" i="1"/>
  <c r="W48" i="1"/>
  <c r="X48" i="1"/>
  <c r="V48" i="1"/>
  <c r="V46" i="1"/>
  <c r="U46" i="1"/>
  <c r="AB46" i="1" s="1"/>
  <c r="V47" i="1"/>
  <c r="W47" i="1"/>
  <c r="Z47" i="1" s="1"/>
  <c r="U45" i="1"/>
  <c r="AA45" i="1" s="1"/>
  <c r="Q40" i="1"/>
  <c r="P40" i="1"/>
  <c r="O40" i="1"/>
  <c r="N40" i="1"/>
  <c r="T40" i="1" s="1"/>
  <c r="P39" i="1"/>
  <c r="O39" i="1"/>
  <c r="N39" i="1"/>
  <c r="T39" i="1" s="1"/>
  <c r="L39" i="1"/>
  <c r="O38" i="1"/>
  <c r="N38" i="1"/>
  <c r="T38" i="1" s="1"/>
  <c r="L38" i="1"/>
  <c r="K38" i="1"/>
  <c r="L37" i="1"/>
  <c r="K37" i="1"/>
  <c r="J37" i="1"/>
  <c r="L36" i="1"/>
  <c r="K36" i="1"/>
  <c r="J36" i="1"/>
  <c r="P29" i="1"/>
  <c r="O29" i="1"/>
  <c r="B15" i="1"/>
  <c r="AD44" i="1" l="1"/>
  <c r="AB44" i="1"/>
  <c r="Z48" i="1"/>
  <c r="AA46" i="1"/>
  <c r="Z46" i="1"/>
  <c r="AA47" i="1"/>
  <c r="AB48" i="1"/>
  <c r="AA44" i="1"/>
  <c r="Z45" i="1"/>
  <c r="AD47" i="1"/>
  <c r="AB47" i="1"/>
  <c r="AC48" i="1"/>
  <c r="AD46" i="1"/>
  <c r="AC46" i="1"/>
  <c r="AD48" i="1"/>
  <c r="AD45" i="1"/>
  <c r="AA48" i="1"/>
  <c r="AB45" i="1"/>
  <c r="AC47" i="1"/>
  <c r="AC44" i="1"/>
  <c r="AC45" i="1"/>
  <c r="U40" i="1"/>
  <c r="U39" i="1"/>
  <c r="V38" i="1"/>
  <c r="V40" i="1"/>
  <c r="W40" i="1"/>
  <c r="X40" i="1"/>
  <c r="W39" i="1"/>
  <c r="V39" i="1"/>
  <c r="U38" i="1"/>
  <c r="N29" i="1"/>
  <c r="N28" i="1"/>
  <c r="T28" i="1" s="1"/>
  <c r="N27" i="1"/>
  <c r="U27" i="1" s="1"/>
  <c r="Z26" i="1"/>
  <c r="N16" i="1"/>
  <c r="N18" i="1" l="1"/>
  <c r="AD38" i="1"/>
  <c r="AB38" i="1"/>
  <c r="Z39" i="1"/>
  <c r="AD36" i="1"/>
  <c r="Z40" i="1"/>
  <c r="AD39" i="1"/>
  <c r="Z38" i="1"/>
  <c r="AB40" i="1"/>
  <c r="AD40" i="1"/>
  <c r="AB36" i="1"/>
  <c r="AC38" i="1"/>
  <c r="AB39" i="1"/>
  <c r="AC40" i="1"/>
  <c r="AC39" i="1"/>
  <c r="AC36" i="1"/>
  <c r="N20" i="1"/>
  <c r="T20" i="1" s="1"/>
  <c r="Z20" i="1" s="1"/>
  <c r="N19" i="1"/>
  <c r="T19" i="1" s="1"/>
  <c r="Z19" i="1" s="1"/>
  <c r="U29" i="1"/>
  <c r="W29" i="1"/>
  <c r="V28" i="1"/>
  <c r="T27" i="1"/>
  <c r="T29" i="1"/>
  <c r="U28" i="1"/>
  <c r="V29" i="1"/>
  <c r="I36" i="1" l="1"/>
  <c r="H35" i="1"/>
  <c r="N37" i="1"/>
  <c r="Z28" i="1"/>
  <c r="AC29" i="1"/>
  <c r="AA29" i="1"/>
  <c r="AB29" i="1"/>
  <c r="Z29" i="1"/>
  <c r="AC26" i="1"/>
  <c r="AB28" i="1"/>
  <c r="AA28" i="1"/>
  <c r="AB26" i="1"/>
  <c r="Z27" i="1"/>
  <c r="AA27" i="1"/>
  <c r="AA26" i="1"/>
  <c r="AC27" i="1"/>
  <c r="AB27" i="1"/>
  <c r="AC28" i="1"/>
  <c r="AF37" i="1" l="1"/>
  <c r="AH37" i="1"/>
  <c r="N17" i="1"/>
  <c r="T37" i="1"/>
  <c r="U37" i="1"/>
  <c r="T17" i="1" l="1"/>
  <c r="Z17" i="1" s="1"/>
  <c r="O17" i="1"/>
  <c r="AA38" i="1"/>
  <c r="AA39" i="1"/>
  <c r="AA40" i="1"/>
  <c r="AB37" i="1"/>
  <c r="AA36" i="1"/>
  <c r="AA37" i="1"/>
  <c r="Z37" i="1"/>
  <c r="AC37" i="1"/>
  <c r="AD37" i="1"/>
  <c r="O20" i="1" l="1"/>
  <c r="L19" i="1"/>
  <c r="L18" i="1"/>
  <c r="K18" i="1"/>
  <c r="L17" i="1"/>
  <c r="K17" i="1"/>
  <c r="J17" i="1"/>
  <c r="L16" i="1"/>
  <c r="K16" i="1"/>
  <c r="J16" i="1"/>
  <c r="I16" i="1"/>
  <c r="K28" i="1"/>
  <c r="K27" i="1"/>
  <c r="J27" i="1"/>
  <c r="K26" i="1"/>
  <c r="J26" i="1"/>
  <c r="I26" i="1"/>
  <c r="AD16" i="1"/>
  <c r="AC16" i="1"/>
  <c r="AA16" i="1"/>
  <c r="U20" i="1" l="1"/>
  <c r="AA20" i="1" s="1"/>
  <c r="P30" i="1"/>
  <c r="O30" i="1"/>
  <c r="L26" i="1"/>
  <c r="Q30" i="1"/>
  <c r="L29" i="1"/>
  <c r="L27" i="1"/>
  <c r="N30" i="1"/>
  <c r="T30" i="1" s="1"/>
  <c r="H25" i="1"/>
  <c r="AH27" i="1" s="1"/>
  <c r="L28" i="1"/>
  <c r="AF27" i="1" l="1"/>
  <c r="AD17" i="1"/>
  <c r="U30" i="1"/>
  <c r="V30" i="1"/>
  <c r="W30" i="1"/>
  <c r="X30" i="1"/>
  <c r="AD30" i="1" l="1"/>
  <c r="AA30" i="1"/>
  <c r="AD28" i="1"/>
  <c r="AC30" i="1"/>
  <c r="AD26" i="1"/>
  <c r="Z30" i="1"/>
  <c r="AD29" i="1"/>
  <c r="AD27" i="1"/>
  <c r="AB30" i="1"/>
  <c r="O19" i="1"/>
  <c r="U19" i="1" s="1"/>
  <c r="AA19" i="1" s="1"/>
  <c r="T18" i="1"/>
  <c r="Z18" i="1" s="1"/>
  <c r="O18" i="1"/>
  <c r="AC17" i="1" l="1"/>
  <c r="P18" i="1"/>
  <c r="P19" i="1" s="1"/>
  <c r="U18" i="1"/>
  <c r="AA18" i="1" s="1"/>
  <c r="AB16" i="1"/>
  <c r="P20" i="1" l="1"/>
  <c r="V20" i="1" s="1"/>
  <c r="AB20" i="1" s="1"/>
  <c r="AB17" i="1"/>
  <c r="V19" i="1"/>
  <c r="AB19" i="1" s="1"/>
  <c r="Q19" i="1"/>
  <c r="AC18" i="1" l="1"/>
  <c r="AD18" i="1"/>
  <c r="Q20" i="1"/>
  <c r="W20" i="1" s="1"/>
  <c r="AC20" i="1" s="1"/>
  <c r="AD19" i="1" l="1"/>
  <c r="R20" i="1"/>
  <c r="H15" i="1" l="1"/>
  <c r="AH17" i="1" l="1"/>
  <c r="AF17" i="1"/>
</calcChain>
</file>

<file path=xl/sharedStrings.xml><?xml version="1.0" encoding="utf-8"?>
<sst xmlns="http://schemas.openxmlformats.org/spreadsheetml/2006/main" count="71" uniqueCount="51">
  <si>
    <t>Cholesky factorization</t>
  </si>
  <si>
    <t>(user-specified input)</t>
  </si>
  <si>
    <t>k=</t>
  </si>
  <si>
    <t>Spherical Angles</t>
  </si>
  <si>
    <t>N sample size =</t>
  </si>
  <si>
    <t>for CDF values near 0 or 1</t>
  </si>
  <si>
    <t>α</t>
  </si>
  <si>
    <t>CI: 1-α</t>
  </si>
  <si>
    <t>1.</t>
  </si>
  <si>
    <t>2.</t>
  </si>
  <si>
    <t>1. &amp; 2.:</t>
  </si>
  <si>
    <t>1. &amp; 3.:</t>
  </si>
  <si>
    <t>For 1. &amp; 2.:</t>
  </si>
  <si>
    <t>For 1. &amp; 3.:</t>
  </si>
  <si>
    <t>p-value for the entire matrix</t>
  </si>
  <si>
    <t>Inverse CDF ('quantile') Correlation Matrix</t>
  </si>
  <si>
    <t>4.</t>
  </si>
  <si>
    <t>3.</t>
  </si>
  <si>
    <t>1. &amp; 4.:</t>
  </si>
  <si>
    <t>For 1. &amp; 4.:</t>
  </si>
  <si>
    <t>estimated/observed Correlation Matrix</t>
  </si>
  <si>
    <t>corresponding ('quantile') Correlation Matrix</t>
  </si>
  <si>
    <t>UPPER (1-α/2)% Confidence Interval Correlation Matrix</t>
  </si>
  <si>
    <t>LOWER (α/2)% Confidence Interval Correlation Matrix</t>
  </si>
  <si>
    <t>LNP = ln( product of all 2-sided p-values )</t>
  </si>
  <si>
    <t>matrix (1-sided) p-value =</t>
  </si>
  <si>
    <t>LNP = ln( product of all 1-sided p-values )</t>
  </si>
  <si>
    <t>numeric tolerance</t>
  </si>
  <si>
    <t>SIMULTANEOUS CONFIDENCE INTERVALS (lower CDF values are associated with higher Correlation values, and vice versa)</t>
  </si>
  <si>
    <t>These results are obtainable under fully generalized data conditions and correlation values via</t>
  </si>
  <si>
    <t>(on arXiv, SSRN, ResearchGate, www.DataMineit.com)</t>
  </si>
  <si>
    <t>generalized entropy = LNP =</t>
  </si>
  <si>
    <t>the NAbC algorithm from Opdyke, JD, (2021), "Beyond Correlation: Positive Definite Dependence</t>
  </si>
  <si>
    <t>(rec. value=1.00E-307)</t>
  </si>
  <si>
    <t>Green cells require valid user input.</t>
  </si>
  <si>
    <t>This is a fully analytic solution, requiring no sampling ('rejection' methods or otherwise).  The null hypothesis is the Gaussian identity matrix.</t>
  </si>
  <si>
    <t>matrix (2-sided) p-value</t>
  </si>
  <si>
    <t xml:space="preserve">Null Hypothesis = </t>
  </si>
  <si>
    <t>Gaussian identity matrix</t>
  </si>
  <si>
    <t>Insert the desired α (cell E36) to obtain, via Simultaneous Confidence Intervals, the Upper/Lower (1-α)% C.I. Correlation Matrices in the orange cells in rows 36-48 (as well as the 1-sided p-value of each of the two matrices).</t>
  </si>
  <si>
    <r>
      <t xml:space="preserve">(low/high CDF values </t>
    </r>
    <r>
      <rPr>
        <b/>
        <sz val="11"/>
        <color theme="1"/>
        <rFont val="Aptos Narrow"/>
        <family val="2"/>
      </rPr>
      <t>→</t>
    </r>
    <r>
      <rPr>
        <b/>
        <sz val="11"/>
        <color theme="1"/>
        <rFont val="Calibri"/>
        <family val="2"/>
        <scheme val="minor"/>
      </rPr>
      <t xml:space="preserve"> high/low Corr values)</t>
    </r>
  </si>
  <si>
    <r>
      <t xml:space="preserve">(low/high Corr values </t>
    </r>
    <r>
      <rPr>
        <b/>
        <sz val="11"/>
        <color theme="1"/>
        <rFont val="Aptos Narrow"/>
        <family val="2"/>
      </rPr>
      <t>→</t>
    </r>
    <r>
      <rPr>
        <b/>
        <sz val="11"/>
        <color theme="1"/>
        <rFont val="Calibri"/>
        <family val="2"/>
        <scheme val="minor"/>
      </rPr>
      <t xml:space="preserve"> high/low CDF values)</t>
    </r>
  </si>
  <si>
    <t>CDF matrix (angles space)</t>
  </si>
  <si>
    <t>corresponding CDF matrix (angles space)</t>
  </si>
  <si>
    <t>(Lower) CDF matrix (1-α/2)%, angles space</t>
  </si>
  <si>
    <t>(Upper) CDF matrix (α/2)%, angles space</t>
  </si>
  <si>
    <t>Pearson's Correlation Matrix--Fully Analytic Inference Under the (Gaussian) Identity Matrix</t>
  </si>
  <si>
    <t>Measures for Robust Inference, Flexible Scenarios, and Causal Modeling for Financial Portfolios"</t>
  </si>
  <si>
    <t>Insert a (positive definite) correlation matrix in the green cells of the top matrix (rows 17-20) to obtain the the 2-sided p-value of the matrix (as well as the unique, corresponding CDF matrix in angles sapce in the orange cells).</t>
  </si>
  <si>
    <t>Conversely, insert a matrix of (angles space) CDF values in the green cells of the next matrix (rows 27-30) to obtain the unique corresponding correlation matrix in the orange cells (as well as the 2-sided p-value of the matrix).</t>
  </si>
  <si>
    <t>Upper/Lower 95% Correlation Matrices (i.e. Simultaneous Confidence Interval matrices)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</si>
</sst>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(* #,##0.00_);_(* \(#,##0.00\);_(* &quot;-&quot;??_);_(@_)"/>
    <numFmt numFmtId="164" formatCode="0.000"/>
    <numFmt numFmtId="165" formatCode="0.0000"/>
    <numFmt numFmtId="166" formatCode="0.00000"/>
    <numFmt numFmtId="167" formatCode="0.00000000000000000000000000000000000000000000000"/>
    <numFmt numFmtId="168" formatCode="_(* #,##0.0000_);_(* \(#,##0.0000\);_(* &quot;-&quot;??_);_(@_)"/>
    <numFmt numFmtId="169" formatCode="0.000000"/>
    <numFmt numFmtId="170" formatCode="0.00000000000"/>
    <numFmt numFmtId="171" formatCode="0.00000000000000"/>
    <numFmt numFmtId="172" formatCode="0.000000000000000000"/>
    <numFmt numFmtId="173" formatCode="0.0000000"/>
    <numFmt numFmtId="174" formatCode="0.000000000"/>
    <numFmt numFmtId="175" formatCode="#,##0.00000"/>
    <numFmt numFmtId="176" formatCode="#,##0.000000000"/>
    <numFmt numFmtId="178" formatCode="0.00000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</font>
    <font>
      <b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quotePrefix="1"/>
    <xf numFmtId="0" fontId="2" fillId="0" borderId="0" xfId="0" applyFont="1"/>
    <xf numFmtId="0" fontId="3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0" xfId="0" quotePrefix="1" applyFont="1"/>
    <xf numFmtId="166" fontId="0" fillId="0" borderId="0" xfId="0" applyNumberFormat="1"/>
    <xf numFmtId="0" fontId="5" fillId="0" borderId="0" xfId="0" applyFont="1"/>
    <xf numFmtId="0" fontId="2" fillId="0" borderId="0" xfId="0" applyFont="1" applyAlignment="1">
      <alignment horizontal="center"/>
    </xf>
    <xf numFmtId="0" fontId="0" fillId="0" borderId="0" xfId="0" quotePrefix="1" applyAlignment="1">
      <alignment horizontal="right"/>
    </xf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5" xfId="0" applyNumberFormat="1" applyBorder="1" applyAlignment="1">
      <alignment horizontal="center"/>
    </xf>
    <xf numFmtId="1" fontId="2" fillId="4" borderId="0" xfId="0" applyNumberFormat="1" applyFont="1" applyFill="1" applyAlignment="1">
      <alignment horizontal="center"/>
    </xf>
    <xf numFmtId="165" fontId="2" fillId="4" borderId="0" xfId="0" applyNumberFormat="1" applyFont="1" applyFill="1" applyAlignment="1">
      <alignment horizontal="center"/>
    </xf>
    <xf numFmtId="165" fontId="0" fillId="2" borderId="0" xfId="0" applyNumberFormat="1" applyFill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8" xfId="0" applyNumberFormat="1" applyFont="1" applyFill="1" applyBorder="1" applyAlignment="1">
      <alignment horizontal="center"/>
    </xf>
    <xf numFmtId="165" fontId="2" fillId="3" borderId="0" xfId="0" applyNumberFormat="1" applyFont="1" applyFill="1" applyAlignment="1" applyProtection="1">
      <alignment horizontal="center"/>
      <protection locked="0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5" fillId="0" borderId="12" xfId="0" applyFont="1" applyBorder="1"/>
    <xf numFmtId="0" fontId="0" fillId="0" borderId="12" xfId="0" applyBorder="1"/>
    <xf numFmtId="165" fontId="2" fillId="0" borderId="0" xfId="0" applyNumberFormat="1" applyFont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0" fontId="0" fillId="0" borderId="13" xfId="0" applyBorder="1"/>
    <xf numFmtId="0" fontId="0" fillId="0" borderId="10" xfId="0" applyBorder="1" applyAlignment="1">
      <alignment horizontal="center"/>
    </xf>
    <xf numFmtId="0" fontId="0" fillId="0" borderId="14" xfId="0" applyBorder="1"/>
    <xf numFmtId="2" fontId="0" fillId="0" borderId="0" xfId="0" applyNumberFormat="1"/>
    <xf numFmtId="0" fontId="0" fillId="0" borderId="12" xfId="0" applyBorder="1" applyAlignment="1">
      <alignment horizontal="center"/>
    </xf>
    <xf numFmtId="168" fontId="2" fillId="3" borderId="0" xfId="1" applyNumberFormat="1" applyFont="1" applyFill="1" applyProtection="1">
      <protection locked="0"/>
    </xf>
    <xf numFmtId="165" fontId="0" fillId="0" borderId="0" xfId="0" applyNumberFormat="1"/>
    <xf numFmtId="0" fontId="7" fillId="0" borderId="0" xfId="0" applyFont="1"/>
    <xf numFmtId="0" fontId="2" fillId="0" borderId="0" xfId="0" quotePrefix="1" applyFont="1"/>
    <xf numFmtId="0" fontId="7" fillId="0" borderId="0" xfId="0" quotePrefix="1" applyFont="1"/>
    <xf numFmtId="0" fontId="5" fillId="0" borderId="0" xfId="0" quotePrefix="1" applyFont="1"/>
    <xf numFmtId="0" fontId="8" fillId="0" borderId="0" xfId="0" applyFont="1"/>
    <xf numFmtId="165" fontId="0" fillId="0" borderId="0" xfId="0" quotePrefix="1" applyNumberFormat="1"/>
    <xf numFmtId="165" fontId="0" fillId="2" borderId="0" xfId="0" quotePrefix="1" applyNumberFormat="1" applyFill="1" applyAlignment="1">
      <alignment horizontal="center"/>
    </xf>
    <xf numFmtId="165" fontId="2" fillId="0" borderId="0" xfId="0" applyNumberFormat="1" applyFont="1"/>
    <xf numFmtId="0" fontId="9" fillId="0" borderId="0" xfId="0" applyFont="1"/>
    <xf numFmtId="0" fontId="10" fillId="0" borderId="0" xfId="0" quotePrefix="1" applyFont="1"/>
    <xf numFmtId="0" fontId="10" fillId="0" borderId="0" xfId="0" applyFont="1"/>
    <xf numFmtId="0" fontId="11" fillId="0" borderId="0" xfId="0" applyFont="1"/>
    <xf numFmtId="0" fontId="11" fillId="0" borderId="0" xfId="0" quotePrefix="1" applyFont="1" applyAlignment="1">
      <alignment horizontal="right"/>
    </xf>
    <xf numFmtId="0" fontId="11" fillId="0" borderId="0" xfId="0" quotePrefix="1" applyFont="1"/>
    <xf numFmtId="169" fontId="0" fillId="0" borderId="0" xfId="1" applyNumberFormat="1" applyFont="1"/>
    <xf numFmtId="169" fontId="0" fillId="0" borderId="0" xfId="1" applyNumberFormat="1" applyFont="1" applyFill="1"/>
    <xf numFmtId="165" fontId="0" fillId="0" borderId="0" xfId="0" quotePrefix="1" applyNumberFormat="1" applyAlignment="1">
      <alignment horizontal="center"/>
    </xf>
    <xf numFmtId="169" fontId="0" fillId="0" borderId="0" xfId="0" quotePrefix="1" applyNumberFormat="1" applyAlignment="1">
      <alignment horizontal="center"/>
    </xf>
    <xf numFmtId="164" fontId="2" fillId="3" borderId="15" xfId="0" quotePrefix="1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Alignment="1">
      <alignment horizontal="center"/>
    </xf>
    <xf numFmtId="164" fontId="6" fillId="0" borderId="0" xfId="0" quotePrefix="1" applyNumberFormat="1" applyFont="1" applyAlignment="1">
      <alignment horizontal="center"/>
    </xf>
    <xf numFmtId="0" fontId="2" fillId="0" borderId="16" xfId="0" quotePrefix="1" applyFont="1" applyBorder="1"/>
    <xf numFmtId="169" fontId="2" fillId="4" borderId="17" xfId="1" applyNumberFormat="1" applyFont="1" applyFill="1" applyBorder="1" applyAlignment="1">
      <alignment horizontal="center"/>
    </xf>
    <xf numFmtId="169" fontId="2" fillId="0" borderId="0" xfId="1" quotePrefix="1" applyNumberFormat="1" applyFont="1"/>
    <xf numFmtId="2" fontId="2" fillId="0" borderId="0" xfId="0" applyNumberFormat="1" applyFont="1"/>
    <xf numFmtId="0" fontId="0" fillId="0" borderId="10" xfId="0" quotePrefix="1" applyBorder="1" applyAlignment="1">
      <alignment horizontal="center"/>
    </xf>
    <xf numFmtId="0" fontId="12" fillId="0" borderId="0" xfId="0" applyFont="1"/>
    <xf numFmtId="0" fontId="2" fillId="0" borderId="16" xfId="0" quotePrefix="1" applyFont="1" applyBorder="1" applyAlignment="1">
      <alignment horizontal="center"/>
    </xf>
    <xf numFmtId="2" fontId="13" fillId="4" borderId="15" xfId="0" applyNumberFormat="1" applyFont="1" applyFill="1" applyBorder="1" applyAlignment="1">
      <alignment horizontal="center"/>
    </xf>
    <xf numFmtId="2" fontId="13" fillId="4" borderId="15" xfId="0" quotePrefix="1" applyNumberFormat="1" applyFont="1" applyFill="1" applyBorder="1" applyAlignment="1">
      <alignment horizontal="center"/>
    </xf>
    <xf numFmtId="11" fontId="2" fillId="3" borderId="0" xfId="0" applyNumberFormat="1" applyFont="1" applyFill="1" applyAlignment="1" applyProtection="1">
      <alignment horizontal="center"/>
      <protection locked="0"/>
    </xf>
    <xf numFmtId="0" fontId="0" fillId="0" borderId="4" xfId="0" applyBorder="1"/>
    <xf numFmtId="165" fontId="2" fillId="0" borderId="1" xfId="0" applyNumberFormat="1" applyFont="1" applyBorder="1" applyAlignment="1">
      <alignment horizontal="center"/>
    </xf>
    <xf numFmtId="165" fontId="2" fillId="4" borderId="2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5" fontId="2" fillId="4" borderId="4" xfId="0" quotePrefix="1" applyNumberFormat="1" applyFont="1" applyFill="1" applyBorder="1" applyAlignment="1">
      <alignment horizontal="center"/>
    </xf>
    <xf numFmtId="165" fontId="2" fillId="4" borderId="5" xfId="0" applyNumberFormat="1" applyFont="1" applyFill="1" applyBorder="1" applyAlignment="1">
      <alignment horizontal="center"/>
    </xf>
    <xf numFmtId="165" fontId="2" fillId="4" borderId="0" xfId="0" quotePrefix="1" applyNumberFormat="1" applyFont="1" applyFill="1" applyAlignment="1">
      <alignment horizontal="center"/>
    </xf>
    <xf numFmtId="165" fontId="2" fillId="4" borderId="6" xfId="0" quotePrefix="1" applyNumberFormat="1" applyFont="1" applyFill="1" applyBorder="1" applyAlignment="1">
      <alignment horizontal="center"/>
    </xf>
    <xf numFmtId="165" fontId="2" fillId="4" borderId="7" xfId="0" quotePrefix="1" applyNumberFormat="1" applyFont="1" applyFill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" fontId="2" fillId="4" borderId="1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5" fontId="2" fillId="4" borderId="6" xfId="0" applyNumberFormat="1" applyFont="1" applyFill="1" applyBorder="1" applyAlignment="1">
      <alignment horizontal="center"/>
    </xf>
    <xf numFmtId="165" fontId="2" fillId="4" borderId="7" xfId="0" applyNumberFormat="1" applyFont="1" applyFill="1" applyBorder="1" applyAlignment="1">
      <alignment horizontal="center"/>
    </xf>
    <xf numFmtId="1" fontId="2" fillId="4" borderId="8" xfId="0" applyNumberFormat="1" applyFont="1" applyFill="1" applyBorder="1" applyAlignment="1">
      <alignment horizontal="center"/>
    </xf>
    <xf numFmtId="169" fontId="0" fillId="0" borderId="0" xfId="1" applyNumberFormat="1" applyFont="1" applyFill="1" applyBorder="1"/>
    <xf numFmtId="0" fontId="2" fillId="0" borderId="0" xfId="0" quotePrefix="1" applyFont="1" applyFill="1" applyBorder="1"/>
    <xf numFmtId="169" fontId="2" fillId="4" borderId="17" xfId="1" quotePrefix="1" applyNumberFormat="1" applyFont="1" applyFill="1" applyBorder="1" applyAlignment="1">
      <alignment horizontal="center"/>
    </xf>
    <xf numFmtId="0" fontId="0" fillId="0" borderId="0" xfId="0" applyProtection="1"/>
    <xf numFmtId="170" fontId="0" fillId="0" borderId="0" xfId="1" applyNumberFormat="1" applyFont="1" applyProtection="1"/>
    <xf numFmtId="0" fontId="0" fillId="0" borderId="0" xfId="0" applyBorder="1" applyProtection="1"/>
    <xf numFmtId="170" fontId="0" fillId="0" borderId="0" xfId="1" applyNumberFormat="1" applyFont="1" applyBorder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170" fontId="2" fillId="0" borderId="0" xfId="1" applyNumberFormat="1" applyFont="1" applyBorder="1" applyAlignment="1" applyProtection="1">
      <alignment horizontal="center"/>
    </xf>
    <xf numFmtId="174" fontId="0" fillId="0" borderId="0" xfId="1" applyNumberFormat="1" applyFont="1" applyBorder="1" applyProtection="1"/>
    <xf numFmtId="176" fontId="0" fillId="0" borderId="0" xfId="0" applyNumberFormat="1" applyBorder="1" applyProtection="1"/>
    <xf numFmtId="166" fontId="0" fillId="0" borderId="0" xfId="1" quotePrefix="1" applyNumberFormat="1" applyFont="1" applyBorder="1" applyProtection="1"/>
    <xf numFmtId="166" fontId="0" fillId="0" borderId="0" xfId="1" applyNumberFormat="1" applyFont="1" applyBorder="1" applyAlignment="1" applyProtection="1">
      <alignment horizontal="center"/>
    </xf>
    <xf numFmtId="175" fontId="0" fillId="0" borderId="0" xfId="1" applyNumberFormat="1" applyFont="1" applyBorder="1" applyAlignment="1" applyProtection="1">
      <alignment horizontal="center"/>
    </xf>
    <xf numFmtId="178" fontId="0" fillId="0" borderId="0" xfId="1" applyNumberFormat="1" applyFont="1" applyBorder="1" applyProtection="1"/>
    <xf numFmtId="164" fontId="6" fillId="0" borderId="0" xfId="0" applyNumberFormat="1" applyFont="1" applyAlignment="1" applyProtection="1">
      <alignment horizontal="center"/>
    </xf>
    <xf numFmtId="167" fontId="0" fillId="0" borderId="0" xfId="1" applyNumberFormat="1" applyFont="1" applyBorder="1" applyProtection="1"/>
    <xf numFmtId="176" fontId="0" fillId="0" borderId="0" xfId="1" applyNumberFormat="1" applyFont="1" applyBorder="1" applyProtection="1"/>
    <xf numFmtId="170" fontId="0" fillId="0" borderId="0" xfId="1" quotePrefix="1" applyNumberFormat="1" applyFont="1" applyBorder="1" applyProtection="1"/>
    <xf numFmtId="11" fontId="0" fillId="0" borderId="0" xfId="1" applyNumberFormat="1" applyFont="1" applyBorder="1" applyProtection="1"/>
    <xf numFmtId="176" fontId="0" fillId="0" borderId="0" xfId="1" quotePrefix="1" applyNumberFormat="1" applyFont="1" applyBorder="1" applyProtection="1"/>
    <xf numFmtId="11" fontId="0" fillId="0" borderId="0" xfId="1" applyNumberFormat="1" applyFont="1" applyProtection="1"/>
    <xf numFmtId="11" fontId="0" fillId="0" borderId="0" xfId="1" quotePrefix="1" applyNumberFormat="1" applyFont="1" applyBorder="1" applyProtection="1"/>
    <xf numFmtId="11" fontId="0" fillId="0" borderId="0" xfId="1" quotePrefix="1" applyNumberFormat="1" applyFont="1" applyProtection="1"/>
    <xf numFmtId="169" fontId="2" fillId="0" borderId="0" xfId="1" quotePrefix="1" applyNumberFormat="1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4" fillId="0" borderId="0" xfId="0" quotePrefix="1" applyFont="1" applyFill="1" applyBorder="1" applyProtection="1"/>
    <xf numFmtId="0" fontId="0" fillId="0" borderId="0" xfId="0" applyFill="1" applyBorder="1" applyProtection="1"/>
    <xf numFmtId="173" fontId="2" fillId="0" borderId="0" xfId="0" applyNumberFormat="1" applyFont="1" applyFill="1" applyBorder="1" applyAlignment="1" applyProtection="1">
      <alignment horizontal="center"/>
    </xf>
    <xf numFmtId="169" fontId="0" fillId="0" borderId="0" xfId="1" applyNumberFormat="1" applyFont="1" applyFill="1" applyBorder="1" applyProtection="1"/>
    <xf numFmtId="165" fontId="13" fillId="0" borderId="0" xfId="0" quotePrefix="1" applyNumberFormat="1" applyFont="1" applyFill="1" applyBorder="1" applyAlignment="1" applyProtection="1">
      <alignment horizontal="center"/>
    </xf>
    <xf numFmtId="171" fontId="0" fillId="0" borderId="0" xfId="0" applyNumberFormat="1" applyProtection="1"/>
    <xf numFmtId="169" fontId="0" fillId="0" borderId="0" xfId="1" applyNumberFormat="1" applyFont="1" applyProtection="1"/>
    <xf numFmtId="2" fontId="0" fillId="0" borderId="0" xfId="1" applyNumberFormat="1" applyFont="1" applyFill="1" applyProtection="1"/>
    <xf numFmtId="169" fontId="2" fillId="0" borderId="0" xfId="1" applyNumberFormat="1" applyFont="1" applyFill="1" applyBorder="1" applyProtection="1"/>
    <xf numFmtId="169" fontId="5" fillId="0" borderId="0" xfId="1" applyNumberFormat="1" applyFont="1" applyFill="1" applyBorder="1" applyProtection="1"/>
    <xf numFmtId="2" fontId="5" fillId="0" borderId="0" xfId="1" applyNumberFormat="1" applyFont="1" applyFill="1" applyBorder="1" applyProtection="1"/>
    <xf numFmtId="169" fontId="0" fillId="0" borderId="0" xfId="1" applyNumberFormat="1" applyFont="1" applyFill="1" applyProtection="1"/>
    <xf numFmtId="172" fontId="0" fillId="0" borderId="0" xfId="0" applyNumberFormat="1" applyProtection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160020</xdr:colOff>
      <xdr:row>21</xdr:row>
      <xdr:rowOff>114300</xdr:rowOff>
    </xdr:from>
    <xdr:to>
      <xdr:col>12</xdr:col>
      <xdr:colOff>358140</xdr:colOff>
      <xdr:row>23</xdr:row>
      <xdr:rowOff>76200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40DBB89D-BB2D-49BD-B394-D1A1FE5FCC3C}"/>
            </a:ext>
          </a:extLst>
        </xdr:cNvPr>
        <xdr:cNvSpPr/>
      </xdr:nvSpPr>
      <xdr:spPr>
        <a:xfrm>
          <a:off x="4815840" y="3771900"/>
          <a:ext cx="1203960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22</xdr:col>
      <xdr:colOff>213360</xdr:colOff>
      <xdr:row>21</xdr:row>
      <xdr:rowOff>114300</xdr:rowOff>
    </xdr:from>
    <xdr:to>
      <xdr:col>24</xdr:col>
      <xdr:colOff>411480</xdr:colOff>
      <xdr:row>23</xdr:row>
      <xdr:rowOff>76200</xdr:rowOff>
    </xdr:to>
    <xdr:sp macro="" textlink="">
      <xdr:nvSpPr>
        <xdr:cNvPr id="3" name="Arrow: Right 2">
          <a:extLst>
            <a:ext uri="{FF2B5EF4-FFF2-40B4-BE49-F238E27FC236}">
              <a16:creationId xmlns:a16="http://schemas.microsoft.com/office/drawing/2014/main" id="{044BF676-47C5-4504-9747-D12E3E47A4FE}"/>
            </a:ext>
          </a:extLst>
        </xdr:cNvPr>
        <xdr:cNvSpPr/>
      </xdr:nvSpPr>
      <xdr:spPr>
        <a:xfrm>
          <a:off x="10904220" y="3771900"/>
          <a:ext cx="1203960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16</xdr:col>
      <xdr:colOff>213360</xdr:colOff>
      <xdr:row>21</xdr:row>
      <xdr:rowOff>114300</xdr:rowOff>
    </xdr:from>
    <xdr:to>
      <xdr:col>18</xdr:col>
      <xdr:colOff>411480</xdr:colOff>
      <xdr:row>23</xdr:row>
      <xdr:rowOff>76200</xdr:rowOff>
    </xdr:to>
    <xdr:sp macro="" textlink="">
      <xdr:nvSpPr>
        <xdr:cNvPr id="5" name="Arrow: Right 4">
          <a:extLst>
            <a:ext uri="{FF2B5EF4-FFF2-40B4-BE49-F238E27FC236}">
              <a16:creationId xmlns:a16="http://schemas.microsoft.com/office/drawing/2014/main" id="{19B394B3-0DAB-4AD9-B758-F1B519842B9D}"/>
            </a:ext>
          </a:extLst>
        </xdr:cNvPr>
        <xdr:cNvSpPr/>
      </xdr:nvSpPr>
      <xdr:spPr>
        <a:xfrm>
          <a:off x="7886700" y="3771900"/>
          <a:ext cx="1203960" cy="3276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DA00-EB17-4772-AE71-BCAF816EBC8E}">
  <sheetPr codeName="Sheet1"/>
  <dimension ref="A1:BN64"/>
  <sheetViews>
    <sheetView tabSelected="1" workbookViewId="0">
      <selection activeCell="B1" sqref="B1"/>
    </sheetView>
  </sheetViews>
  <sheetFormatPr defaultRowHeight="14.4" x14ac:dyDescent="0.3"/>
  <cols>
    <col min="1" max="1" width="1.88671875" customWidth="1"/>
    <col min="2" max="6" width="5.33203125" customWidth="1"/>
    <col min="7" max="7" width="2.33203125" customWidth="1"/>
    <col min="8" max="12" width="7.88671875" customWidth="1"/>
    <col min="13" max="13" width="2.33203125" customWidth="1"/>
    <col min="14" max="18" width="7.88671875" customWidth="1"/>
    <col min="19" max="19" width="2.33203125" customWidth="1"/>
    <col min="20" max="24" width="7.88671875" customWidth="1"/>
    <col min="25" max="25" width="2.33203125" customWidth="1"/>
    <col min="26" max="30" width="7.88671875" customWidth="1"/>
    <col min="31" max="31" width="2.33203125" customWidth="1"/>
    <col min="32" max="32" width="22.44140625" customWidth="1"/>
    <col min="33" max="33" width="2" customWidth="1"/>
    <col min="34" max="34" width="9.44140625" customWidth="1"/>
    <col min="35" max="36" width="13.44140625" style="64" customWidth="1"/>
    <col min="37" max="37" width="13.77734375" style="99" customWidth="1"/>
    <col min="38" max="42" width="15.44140625" style="99" customWidth="1"/>
    <col min="43" max="43" width="9.33203125" style="99" customWidth="1"/>
    <col min="44" max="44" width="10.21875" style="100" customWidth="1"/>
    <col min="45" max="47" width="13.44140625" style="100" customWidth="1"/>
    <col min="48" max="66" width="8.88671875" style="99"/>
  </cols>
  <sheetData>
    <row r="1" spans="1:46" ht="4.2" customHeight="1" x14ac:dyDescent="0.3">
      <c r="AF1" s="2"/>
    </row>
    <row r="2" spans="1:46" ht="14.4" customHeight="1" x14ac:dyDescent="0.3">
      <c r="E2" s="58"/>
      <c r="F2" s="58"/>
      <c r="G2" s="58"/>
      <c r="H2" s="59" t="s">
        <v>46</v>
      </c>
      <c r="I2" s="58"/>
      <c r="J2" s="58"/>
      <c r="K2" s="58"/>
      <c r="L2" s="58"/>
      <c r="M2" s="58"/>
      <c r="N2" s="58"/>
      <c r="O2" s="58"/>
      <c r="P2" s="58"/>
      <c r="Q2" s="58"/>
      <c r="R2" s="58"/>
      <c r="U2" s="62" t="s">
        <v>8</v>
      </c>
      <c r="V2" s="60" t="s">
        <v>14</v>
      </c>
      <c r="W2" s="58"/>
      <c r="X2" s="58"/>
      <c r="Y2" s="58"/>
      <c r="Z2" s="58"/>
      <c r="AA2" s="58"/>
    </row>
    <row r="3" spans="1:46" ht="14.4" customHeight="1" x14ac:dyDescent="0.35">
      <c r="B3" s="3"/>
      <c r="D3" s="3"/>
      <c r="E3" s="58"/>
      <c r="F3" s="58"/>
      <c r="G3" s="58"/>
      <c r="H3" s="63" t="s">
        <v>29</v>
      </c>
      <c r="I3" s="58"/>
      <c r="J3" s="58"/>
      <c r="K3" s="58"/>
      <c r="L3" s="58"/>
      <c r="M3" s="58"/>
      <c r="N3" s="58"/>
      <c r="O3" s="58"/>
      <c r="P3" s="58"/>
      <c r="Q3" s="58"/>
      <c r="R3" s="58"/>
      <c r="U3" s="62" t="s">
        <v>9</v>
      </c>
      <c r="V3" s="60" t="s">
        <v>42</v>
      </c>
      <c r="W3" s="58"/>
      <c r="X3" s="58"/>
      <c r="Y3" s="58"/>
      <c r="Z3" s="58"/>
      <c r="AA3" s="58"/>
    </row>
    <row r="4" spans="1:46" ht="14.4" customHeight="1" x14ac:dyDescent="0.35">
      <c r="B4" s="3"/>
      <c r="D4" s="3"/>
      <c r="E4" s="58"/>
      <c r="F4" s="58"/>
      <c r="G4" s="58"/>
      <c r="H4" s="63" t="s">
        <v>32</v>
      </c>
      <c r="I4" s="58"/>
      <c r="J4" s="58"/>
      <c r="K4" s="58"/>
      <c r="L4" s="58"/>
      <c r="M4" s="58"/>
      <c r="N4" s="58"/>
      <c r="O4" s="58"/>
      <c r="P4" s="58"/>
      <c r="Q4" s="58"/>
      <c r="R4" s="58"/>
      <c r="U4" s="62" t="s">
        <v>17</v>
      </c>
      <c r="V4" s="60" t="s">
        <v>15</v>
      </c>
      <c r="W4" s="58"/>
      <c r="X4" s="58"/>
      <c r="Y4" s="58"/>
      <c r="Z4" s="58"/>
      <c r="AA4" s="58"/>
    </row>
    <row r="5" spans="1:46" ht="14.4" customHeight="1" x14ac:dyDescent="0.35">
      <c r="B5" s="3"/>
      <c r="D5" s="3"/>
      <c r="E5" s="58"/>
      <c r="F5" s="58"/>
      <c r="G5" s="58"/>
      <c r="H5" s="61" t="s">
        <v>47</v>
      </c>
      <c r="I5" s="58"/>
      <c r="J5" s="58"/>
      <c r="K5" s="58"/>
      <c r="L5" s="58"/>
      <c r="M5" s="58"/>
      <c r="N5" s="58"/>
      <c r="O5" s="58"/>
      <c r="P5" s="58"/>
      <c r="Q5" s="58"/>
      <c r="R5" s="58"/>
      <c r="U5" s="62" t="s">
        <v>16</v>
      </c>
      <c r="V5" s="60" t="s">
        <v>50</v>
      </c>
      <c r="W5" s="58"/>
      <c r="X5" s="58"/>
      <c r="Y5" s="58"/>
      <c r="Z5" s="58"/>
      <c r="AA5" s="58"/>
    </row>
    <row r="6" spans="1:46" ht="14.4" customHeight="1" x14ac:dyDescent="0.35">
      <c r="A6" s="3"/>
      <c r="E6" s="58"/>
      <c r="F6" s="58"/>
      <c r="G6" s="58"/>
      <c r="H6" s="60" t="s">
        <v>30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60"/>
      <c r="W6" s="58"/>
      <c r="X6" s="58"/>
      <c r="Y6" s="58"/>
      <c r="Z6" s="58"/>
      <c r="AA6" s="58"/>
    </row>
    <row r="7" spans="1:46" ht="14.4" customHeight="1" x14ac:dyDescent="0.3">
      <c r="E7" s="76" t="s">
        <v>34</v>
      </c>
      <c r="F7" s="58"/>
      <c r="I7" s="58"/>
      <c r="J7" s="58"/>
      <c r="K7" s="58"/>
      <c r="L7" s="60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</row>
    <row r="8" spans="1:46" ht="14.4" customHeight="1" x14ac:dyDescent="0.3">
      <c r="E8" s="58"/>
      <c r="F8" s="58"/>
      <c r="G8" s="58"/>
      <c r="H8" s="60" t="s">
        <v>35</v>
      </c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</row>
    <row r="9" spans="1:46" ht="14.4" customHeight="1" x14ac:dyDescent="0.35">
      <c r="D9" s="54"/>
      <c r="E9" s="61" t="s">
        <v>12</v>
      </c>
      <c r="F9" s="61"/>
      <c r="G9" s="58"/>
      <c r="H9" s="60" t="s">
        <v>48</v>
      </c>
      <c r="I9" s="58"/>
      <c r="J9" s="58"/>
      <c r="K9" s="60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L9" s="101"/>
      <c r="AM9" s="101"/>
      <c r="AN9" s="101"/>
      <c r="AO9" s="101"/>
      <c r="AP9" s="101"/>
      <c r="AQ9" s="101"/>
      <c r="AR9" s="102"/>
      <c r="AS9" s="102"/>
      <c r="AT9" s="102"/>
    </row>
    <row r="10" spans="1:46" ht="14.4" customHeight="1" x14ac:dyDescent="0.35">
      <c r="D10" s="54"/>
      <c r="E10" s="61" t="s">
        <v>13</v>
      </c>
      <c r="F10" s="61"/>
      <c r="G10" s="58"/>
      <c r="H10" s="60" t="s">
        <v>49</v>
      </c>
      <c r="I10" s="58"/>
      <c r="J10" s="58"/>
      <c r="K10" s="60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L10" s="101"/>
      <c r="AM10" s="101"/>
      <c r="AN10" s="101"/>
      <c r="AO10" s="101"/>
      <c r="AP10" s="101"/>
      <c r="AQ10" s="101"/>
      <c r="AR10" s="102"/>
      <c r="AS10" s="102"/>
      <c r="AT10" s="102"/>
    </row>
    <row r="11" spans="1:46" ht="14.4" customHeight="1" x14ac:dyDescent="0.35">
      <c r="D11" s="54"/>
      <c r="E11" s="61" t="s">
        <v>19</v>
      </c>
      <c r="F11" s="61"/>
      <c r="G11" s="58"/>
      <c r="H11" s="60" t="s">
        <v>39</v>
      </c>
      <c r="I11" s="58"/>
      <c r="J11" s="58"/>
      <c r="K11" s="60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L11" s="103"/>
      <c r="AM11" s="101"/>
      <c r="AN11" s="101"/>
      <c r="AO11" s="101"/>
      <c r="AP11" s="101"/>
      <c r="AQ11" s="101"/>
      <c r="AR11" s="102"/>
      <c r="AS11" s="102"/>
      <c r="AT11" s="102"/>
    </row>
    <row r="12" spans="1:46" ht="15" thickBot="1" x14ac:dyDescent="0.35">
      <c r="AF12" s="47" t="s">
        <v>27</v>
      </c>
      <c r="AG12" s="11" t="s">
        <v>1</v>
      </c>
      <c r="AL12" s="104"/>
      <c r="AM12" s="104"/>
      <c r="AN12" s="104"/>
      <c r="AO12" s="104"/>
      <c r="AP12" s="104"/>
      <c r="AQ12" s="104"/>
      <c r="AR12" s="105"/>
      <c r="AS12" s="102"/>
      <c r="AT12" s="102"/>
    </row>
    <row r="13" spans="1:46" ht="15.6" thickTop="1" thickBot="1" x14ac:dyDescent="0.35">
      <c r="B13" s="11" t="s">
        <v>1</v>
      </c>
      <c r="E13" s="40"/>
      <c r="H13" s="11" t="s">
        <v>1</v>
      </c>
      <c r="AE13" s="36"/>
      <c r="AF13" s="80">
        <v>9.9999999999999991E-308</v>
      </c>
      <c r="AG13" s="43" t="s">
        <v>5</v>
      </c>
      <c r="AL13" s="106"/>
      <c r="AM13" s="107"/>
      <c r="AN13" s="101"/>
      <c r="AO13" s="108"/>
      <c r="AP13" s="109"/>
      <c r="AQ13" s="108"/>
      <c r="AR13" s="110"/>
      <c r="AS13" s="102"/>
      <c r="AT13" s="102"/>
    </row>
    <row r="14" spans="1:46" ht="15.6" thickTop="1" thickBot="1" x14ac:dyDescent="0.35">
      <c r="B14" s="2" t="s">
        <v>4</v>
      </c>
      <c r="D14" s="36"/>
      <c r="E14" s="42">
        <v>252</v>
      </c>
      <c r="F14" s="43"/>
      <c r="H14" s="2" t="s">
        <v>20</v>
      </c>
      <c r="N14" s="2" t="s">
        <v>0</v>
      </c>
      <c r="T14" s="2" t="s">
        <v>3</v>
      </c>
      <c r="Z14" s="2" t="s">
        <v>43</v>
      </c>
      <c r="AF14" s="75" t="s">
        <v>33</v>
      </c>
      <c r="AL14" s="106"/>
      <c r="AM14" s="107"/>
      <c r="AN14" s="101"/>
      <c r="AO14" s="108"/>
      <c r="AP14" s="109"/>
      <c r="AQ14" s="108"/>
      <c r="AR14" s="110"/>
      <c r="AS14" s="102"/>
      <c r="AT14" s="102"/>
    </row>
    <row r="15" spans="1:46" ht="15.6" thickTop="1" thickBot="1" x14ac:dyDescent="0.35">
      <c r="B15" s="13" t="str">
        <f>IF(OR(NOT(ISNUMBER(E14)),E14&lt;6),"N must be integer &gt; 5."," ")</f>
        <v xml:space="preserve"> </v>
      </c>
      <c r="E15" s="37"/>
      <c r="H15" s="39" t="str">
        <f>IF(NOT(ISNUMBER(N16*N17*N18*N19*N20*O17*O18*O19*O20*P18*P19*P20*Q19*Q20*R20)),"MATRIX MUST BE POSITIVE DEFINITE","")</f>
        <v/>
      </c>
      <c r="I15" s="40"/>
      <c r="J15" s="40"/>
      <c r="K15" s="40"/>
      <c r="L15" s="40"/>
      <c r="Z15" s="51" t="s">
        <v>41</v>
      </c>
      <c r="AG15" s="64"/>
      <c r="AH15" s="73" t="s">
        <v>31</v>
      </c>
      <c r="AL15" s="106"/>
      <c r="AM15" s="107"/>
      <c r="AN15" s="101"/>
      <c r="AO15" s="108"/>
      <c r="AP15" s="109"/>
      <c r="AQ15" s="108"/>
      <c r="AR15" s="110"/>
      <c r="AS15" s="102"/>
      <c r="AT15" s="102"/>
    </row>
    <row r="16" spans="1:46" ht="15.6" thickTop="1" thickBot="1" x14ac:dyDescent="0.35">
      <c r="G16" s="36"/>
      <c r="H16" s="33">
        <v>1</v>
      </c>
      <c r="I16" s="31">
        <f>H17</f>
        <v>0.25</v>
      </c>
      <c r="J16" s="31">
        <f>H18</f>
        <v>0.25</v>
      </c>
      <c r="K16" s="31">
        <f>H19</f>
        <v>0.25</v>
      </c>
      <c r="L16" s="31">
        <f>H20</f>
        <v>0.25</v>
      </c>
      <c r="M16" s="38"/>
      <c r="N16" s="16">
        <f>SQRT(H16)</f>
        <v>1</v>
      </c>
      <c r="O16" s="25">
        <v>0</v>
      </c>
      <c r="P16" s="25">
        <v>0</v>
      </c>
      <c r="Q16" s="25">
        <v>0</v>
      </c>
      <c r="R16" s="26">
        <v>0</v>
      </c>
      <c r="S16" s="7"/>
      <c r="T16" s="16"/>
      <c r="U16" s="17"/>
      <c r="V16" s="17"/>
      <c r="W16" s="17"/>
      <c r="X16" s="18"/>
      <c r="Y16" s="81"/>
      <c r="Z16" s="82"/>
      <c r="AA16" s="83">
        <f>Z17</f>
        <v>3.0001326045914212E-5</v>
      </c>
      <c r="AB16" s="83">
        <f>Z18</f>
        <v>3.0001326045914212E-5</v>
      </c>
      <c r="AC16" s="83">
        <f>Z19</f>
        <v>3.0001326045914212E-5</v>
      </c>
      <c r="AD16" s="84">
        <f>Z20</f>
        <v>3.0001326045914212E-5</v>
      </c>
      <c r="AF16" s="77" t="s">
        <v>36</v>
      </c>
      <c r="AG16" s="64"/>
      <c r="AH16" s="2" t="s">
        <v>24</v>
      </c>
      <c r="AL16" s="106"/>
      <c r="AM16" s="107"/>
      <c r="AN16" s="101"/>
      <c r="AO16" s="108"/>
      <c r="AP16" s="109"/>
      <c r="AQ16" s="108"/>
      <c r="AR16" s="110"/>
      <c r="AS16" s="102"/>
      <c r="AT16" s="102"/>
    </row>
    <row r="17" spans="2:52" ht="15.6" thickTop="1" thickBot="1" x14ac:dyDescent="0.35">
      <c r="E17" s="53"/>
      <c r="F17" s="53" t="s">
        <v>10</v>
      </c>
      <c r="G17" s="36"/>
      <c r="H17" s="35">
        <v>0.25</v>
      </c>
      <c r="I17" s="33">
        <v>1</v>
      </c>
      <c r="J17" s="31">
        <f>I18</f>
        <v>0.25</v>
      </c>
      <c r="K17" s="31">
        <f>I19</f>
        <v>0.25</v>
      </c>
      <c r="L17" s="31">
        <f>I20</f>
        <v>0.25</v>
      </c>
      <c r="M17" s="38"/>
      <c r="N17" s="19">
        <f>H17/N16</f>
        <v>0.25</v>
      </c>
      <c r="O17" s="20">
        <f>SQRT(I17-N17^2)</f>
        <v>0.96824583655185426</v>
      </c>
      <c r="P17" s="27">
        <v>0</v>
      </c>
      <c r="Q17" s="27">
        <v>0</v>
      </c>
      <c r="R17" s="28">
        <v>0</v>
      </c>
      <c r="S17" s="7"/>
      <c r="T17" s="19">
        <f>ACOS(N17)</f>
        <v>1.318116071652818</v>
      </c>
      <c r="U17" s="20"/>
      <c r="V17" s="20"/>
      <c r="W17" s="20"/>
      <c r="X17" s="21"/>
      <c r="Y17" s="81"/>
      <c r="Z17" s="85">
        <f>IF(T17=PI()/2,0.5,IF(T17&lt;PI()/2,0.5-0.5*_xlfn.BETA.DIST(COS(T17)^2,0.5,(1+Z$21+$E$14-5-2)/2,TRUE),0.5+0.5*_xlfn.BETA.DIST(COS(T17)^2,0.5,(1+Z$21+$E$14-5-2)/2,TRUE)))</f>
        <v>3.0001326045914212E-5</v>
      </c>
      <c r="AA17" s="41"/>
      <c r="AB17" s="30">
        <f>AA18</f>
        <v>7.2371876399968116E-4</v>
      </c>
      <c r="AC17" s="30">
        <f>AA19</f>
        <v>7.2371876399968116E-4</v>
      </c>
      <c r="AD17" s="86">
        <f>AA20</f>
        <v>7.2371876399968116E-4</v>
      </c>
      <c r="AF17" s="98">
        <f>IF($H$15="",1-((1-2*MIN(Z17,1-Z17))*(1-2*MIN(Z18,1-Z18))*(1-2*MIN(Z19,1-Z19))*(1-2*MIN(Z20,1-Z20))*(1-2*MIN(AA18,1-AA18))*(1-2*MIN(AA19,1-AA19))*(1-2*MIN(AA20,1-AA20))*(1-2*MIN(AB19,1-AB19))*(1-2*MIN(AB20,1-AB20))*(1-2*MIN(AC20,1-AC20))),"ERR")</f>
        <v>4.4645653833682131E-2</v>
      </c>
      <c r="AH17" s="78">
        <f>IF($H$15="",LN(MAX(2*MIN(Z17,1-Z17),$AF$13))+LN(MAX(2*MIN(Z18,1-Z18),$AF$13))+LN(MAX(2*MIN(Z19,1-Z19),$AF$13))+LN(MAX(2*MIN(Z20,1-Z20),$AF$13))+LN(MAX(2*MIN(AA18,1-AA18),$AF$13))+LN(MAX(2*MIN(AA19,1-AA19),$AF$13))+LN(MAX(2*MIN(AA20,1-AA20),$AF$13))+LN(MAX(2*MIN(AB19,1-AB19),$AF$13))+LN(MAX(2*MIN(AB20,1-AB20),$AF$13))+LN(MAX(2*MIN(AC20,1-AC20),$AF$13)),"ERR")</f>
        <v>-71.809506088907355</v>
      </c>
      <c r="AL17" s="111"/>
      <c r="AM17" s="111"/>
      <c r="AN17" s="111"/>
      <c r="AO17" s="111"/>
      <c r="AP17" s="106"/>
      <c r="AQ17" s="108"/>
      <c r="AR17" s="110"/>
      <c r="AS17" s="102"/>
      <c r="AT17" s="102"/>
    </row>
    <row r="18" spans="2:52" x14ac:dyDescent="0.3">
      <c r="B18" s="13"/>
      <c r="G18" s="36"/>
      <c r="H18" s="35">
        <v>0.25</v>
      </c>
      <c r="I18" s="35">
        <v>0.25</v>
      </c>
      <c r="J18" s="33">
        <v>1</v>
      </c>
      <c r="K18" s="31">
        <f>J19</f>
        <v>0.25</v>
      </c>
      <c r="L18" s="31">
        <f>J20</f>
        <v>0.25</v>
      </c>
      <c r="M18" s="38"/>
      <c r="N18" s="19">
        <f>H18/N16</f>
        <v>0.25</v>
      </c>
      <c r="O18" s="20">
        <f>(I18-N18*N17)/O17</f>
        <v>0.19364916731037085</v>
      </c>
      <c r="P18" s="20">
        <f>SQRT(J18-(O18^2+N18^2))</f>
        <v>0.94868329805051377</v>
      </c>
      <c r="Q18" s="27">
        <v>0</v>
      </c>
      <c r="R18" s="28">
        <v>0</v>
      </c>
      <c r="S18" s="7"/>
      <c r="T18" s="19">
        <f>ACOS(N18)</f>
        <v>1.318116071652818</v>
      </c>
      <c r="U18" s="20">
        <f>ACOS(O18/(SIN(T18)))</f>
        <v>1.3694384060045657</v>
      </c>
      <c r="V18" s="20"/>
      <c r="W18" s="20"/>
      <c r="X18" s="21"/>
      <c r="Y18" s="81"/>
      <c r="Z18" s="85">
        <f>IF(T18=PI()/2,0.5,IF(T18&lt;PI()/2,0.5-0.5*_xlfn.BETA.DIST(COS(T18)^2,0.5,(1+Z$21+$E$14-5-2)/2,TRUE),0.5+0.5*_xlfn.BETA.DIST(COS(T18)^2,0.5,(1+Z$21+$E$14-5-2)/2,TRUE)))</f>
        <v>3.0001326045914212E-5</v>
      </c>
      <c r="AA18" s="87">
        <f>IF(U18=PI()/2,0.5,IF(U18&lt;PI()/2,0.5-0.5*_xlfn.BETA.DIST(COS(U18)^2,0.5,(1+AA$21+$E$14-5-2)/2,TRUE),0.5+0.5*_xlfn.BETA.DIST(COS(U18)^2,0.5,(1+AA$21+$E$14-5-2)/2,TRUE)))</f>
        <v>7.2371876399968116E-4</v>
      </c>
      <c r="AB18" s="41"/>
      <c r="AC18" s="30">
        <f>AB19</f>
        <v>4.1389604294749249E-3</v>
      </c>
      <c r="AD18" s="86">
        <f>AB20</f>
        <v>4.1389604294749249E-3</v>
      </c>
      <c r="AF18" s="121"/>
      <c r="AG18" s="99"/>
      <c r="AH18" s="99"/>
      <c r="AL18" s="111"/>
      <c r="AM18" s="111"/>
      <c r="AN18" s="111"/>
      <c r="AO18" s="111"/>
      <c r="AP18" s="106"/>
      <c r="AQ18" s="108"/>
      <c r="AR18" s="110"/>
      <c r="AS18" s="102"/>
      <c r="AT18" s="102"/>
      <c r="AZ18" s="112"/>
    </row>
    <row r="19" spans="2:52" x14ac:dyDescent="0.3">
      <c r="B19" s="13" t="s">
        <v>37</v>
      </c>
      <c r="G19" s="36"/>
      <c r="H19" s="35">
        <v>0.25</v>
      </c>
      <c r="I19" s="35">
        <v>0.25</v>
      </c>
      <c r="J19" s="35">
        <v>0.25</v>
      </c>
      <c r="K19" s="33">
        <v>1</v>
      </c>
      <c r="L19" s="31">
        <f>K20</f>
        <v>0.25</v>
      </c>
      <c r="M19" s="38"/>
      <c r="N19" s="19">
        <f>H19/N16</f>
        <v>0.25</v>
      </c>
      <c r="O19" s="20">
        <f>(I19-N19*N18)/O17</f>
        <v>0.19364916731037085</v>
      </c>
      <c r="P19" s="20">
        <f>(J19-(N18*N19+O18*O19))/P18</f>
        <v>0.15811388300841897</v>
      </c>
      <c r="Q19" s="20">
        <f>SQRT(K19-(P19^2+O19^2+N19^2))</f>
        <v>0.93541434669348533</v>
      </c>
      <c r="R19" s="28">
        <v>0</v>
      </c>
      <c r="S19" s="7"/>
      <c r="T19" s="19">
        <f>ACOS(N19)</f>
        <v>1.318116071652818</v>
      </c>
      <c r="U19" s="20">
        <f>ACOS(O19/(SIN(T19)))</f>
        <v>1.3694384060045657</v>
      </c>
      <c r="V19" s="20">
        <f>ACOS(P19/(SIN(U19)*SIN(T19)))</f>
        <v>1.4033482475752073</v>
      </c>
      <c r="W19" s="20"/>
      <c r="X19" s="21"/>
      <c r="Y19" s="81"/>
      <c r="Z19" s="85">
        <f>IF(T19=PI()/2,0.5,IF(T19&lt;PI()/2,0.5-0.5*_xlfn.BETA.DIST(COS(T19)^2,0.5,(1+Z$21+$E$14-5-2)/2,TRUE),0.5+0.5*_xlfn.BETA.DIST(COS(T19)^2,0.5,(1+Z$21+$E$14-5-2)/2,TRUE)))</f>
        <v>3.0001326045914212E-5</v>
      </c>
      <c r="AA19" s="87">
        <f>IF(U19=PI()/2,0.5,IF(U19&lt;PI()/2,0.5-0.5*_xlfn.BETA.DIST(COS(U19)^2,0.5,(1+AA$21+$E$14-5-2)/2,TRUE),0.5+0.5*_xlfn.BETA.DIST(COS(U19)^2,0.5,(1+AA$21+$E$14-5-2)/2,TRUE)))</f>
        <v>7.2371876399968116E-4</v>
      </c>
      <c r="AB19" s="87">
        <f>IF(V19=PI()/2,0.5,IF(V19&lt;PI()/2,0.5-0.5*_xlfn.BETA.DIST(COS(V19)^2,0.5,(1+AB$21+$E$14-5-2)/2,TRUE),0.5+0.5*_xlfn.BETA.DIST(COS(V19)^2,0.5,(1+AB$21+$E$14-5-2)/2,TRUE)))</f>
        <v>4.1389604294749249E-3</v>
      </c>
      <c r="AC19" s="41"/>
      <c r="AD19" s="86">
        <f>AC20</f>
        <v>1.2082977047579879E-2</v>
      </c>
      <c r="AF19" s="122"/>
      <c r="AG19" s="123"/>
      <c r="AH19" s="124"/>
      <c r="AI19" s="96"/>
      <c r="AJ19" s="1"/>
      <c r="AL19" s="111"/>
      <c r="AM19" s="111"/>
      <c r="AN19" s="111"/>
      <c r="AO19" s="111"/>
      <c r="AP19" s="106"/>
      <c r="AQ19" s="108"/>
      <c r="AR19" s="110"/>
      <c r="AS19" s="102"/>
      <c r="AT19" s="102"/>
    </row>
    <row r="20" spans="2:52" ht="15" thickBot="1" x14ac:dyDescent="0.35">
      <c r="B20" s="13" t="s">
        <v>38</v>
      </c>
      <c r="G20" s="36"/>
      <c r="H20" s="35">
        <v>0.25</v>
      </c>
      <c r="I20" s="35">
        <v>0.25</v>
      </c>
      <c r="J20" s="35">
        <v>0.25</v>
      </c>
      <c r="K20" s="35">
        <v>0.25</v>
      </c>
      <c r="L20" s="33">
        <v>1</v>
      </c>
      <c r="M20" s="38"/>
      <c r="N20" s="22">
        <f>H20/N16</f>
        <v>0.25</v>
      </c>
      <c r="O20" s="23">
        <f>(I20-N20*N19)/O17</f>
        <v>0.19364916731037085</v>
      </c>
      <c r="P20" s="23">
        <f>(J20-(N18*N20+O18*O20))/P18</f>
        <v>0.15811388300841897</v>
      </c>
      <c r="Q20" s="23">
        <f>(K20-(N19*N20+O19*O20+P19*P20))/Q19</f>
        <v>0.1336306209562122</v>
      </c>
      <c r="R20" s="24">
        <f>SQRT(L20-(N20^2+O20^2+P20^2+Q20^2))</f>
        <v>0.92582009977255153</v>
      </c>
      <c r="S20" s="7"/>
      <c r="T20" s="22">
        <f>ACOS(N20)</f>
        <v>1.318116071652818</v>
      </c>
      <c r="U20" s="23">
        <f>ACOS(O20/(SIN(T20)))</f>
        <v>1.3694384060045657</v>
      </c>
      <c r="V20" s="23">
        <f>ACOS(P20/(SIN(U20)*SIN(T20)))</f>
        <v>1.4033482475752073</v>
      </c>
      <c r="W20" s="23">
        <f>ACOS(Q20/(SIN(V20)*SIN(U20)*SIN(T20)))</f>
        <v>1.4274487578895312</v>
      </c>
      <c r="X20" s="24"/>
      <c r="Y20" s="81"/>
      <c r="Z20" s="88">
        <f>IF(T20=PI()/2,0.5,IF(T20&lt;PI()/2,0.5-0.5*_xlfn.BETA.DIST(COS(T20)^2,0.5,(1+Z$21+$E$14-5-2)/2,TRUE),0.5+0.5*_xlfn.BETA.DIST(COS(T20)^2,0.5,(1+Z$21+$E$14-5-2)/2,TRUE)))</f>
        <v>3.0001326045914212E-5</v>
      </c>
      <c r="AA20" s="89">
        <f>IF(U20=PI()/2,0.5,IF(U20&lt;PI()/2,0.5-0.5*_xlfn.BETA.DIST(COS(U20)^2,0.5,(1+AA$21+$E$14-5-2)/2,TRUE),0.5+0.5*_xlfn.BETA.DIST(COS(U20)^2,0.5,(1+AA$21+$E$14-5-2)/2,TRUE)))</f>
        <v>7.2371876399968116E-4</v>
      </c>
      <c r="AB20" s="89">
        <f>IF(V20=PI()/2,0.5,IF(V20&lt;PI()/2,0.5-0.5*_xlfn.BETA.DIST(COS(V20)^2,0.5,(1+AB$21+$E$14-5-2)/2,TRUE),0.5+0.5*_xlfn.BETA.DIST(COS(V20)^2,0.5,(1+AB$21+$E$14-5-2)/2,TRUE)))</f>
        <v>4.1389604294749249E-3</v>
      </c>
      <c r="AC20" s="89">
        <f>IF(W20=PI()/2,0.5,IF(W20&lt;PI()/2,0.5-0.5*_xlfn.BETA.DIST(COS(W20)^2,0.5,(1+AC$21+$E$14-5-2)/2,TRUE),0.5+0.5*_xlfn.BETA.DIST(COS(W20)^2,0.5,(1+AC$21+$E$14-5-2)/2,TRUE)))</f>
        <v>1.2082977047579879E-2</v>
      </c>
      <c r="AD20" s="90"/>
      <c r="AF20" s="125"/>
      <c r="AG20" s="126"/>
      <c r="AH20" s="127"/>
      <c r="AI20" s="97"/>
      <c r="AJ20" s="1"/>
      <c r="AL20" s="111"/>
      <c r="AM20" s="111"/>
      <c r="AN20" s="111"/>
      <c r="AO20" s="111"/>
      <c r="AP20" s="106"/>
      <c r="AQ20" s="108"/>
      <c r="AR20" s="110"/>
      <c r="AS20" s="102"/>
      <c r="AT20" s="102"/>
    </row>
    <row r="21" spans="2:52" ht="15" thickTop="1" x14ac:dyDescent="0.3">
      <c r="B21" s="32">
        <v>1</v>
      </c>
      <c r="C21" s="4">
        <v>0</v>
      </c>
      <c r="D21" s="4">
        <v>0</v>
      </c>
      <c r="E21" s="4">
        <v>0</v>
      </c>
      <c r="F21" s="5">
        <v>0</v>
      </c>
      <c r="H21" s="37"/>
      <c r="I21" s="37"/>
      <c r="J21" s="37"/>
      <c r="K21" s="37"/>
      <c r="L21" s="37"/>
      <c r="M21" s="15"/>
      <c r="N21" s="7"/>
      <c r="O21" s="7"/>
      <c r="P21" s="7"/>
      <c r="Q21" s="7"/>
      <c r="S21" s="15"/>
      <c r="T21" s="7"/>
      <c r="U21" s="7"/>
      <c r="V21" s="7"/>
      <c r="W21" s="7"/>
      <c r="Y21" s="15" t="s">
        <v>2</v>
      </c>
      <c r="Z21" s="7">
        <v>4</v>
      </c>
      <c r="AA21" s="7">
        <v>3</v>
      </c>
      <c r="AB21" s="7">
        <v>2</v>
      </c>
      <c r="AC21" s="7">
        <v>1</v>
      </c>
      <c r="AF21" s="125"/>
      <c r="AG21" s="126"/>
      <c r="AH21" s="127"/>
      <c r="AI21" s="97"/>
      <c r="AL21" s="106"/>
      <c r="AM21" s="107"/>
      <c r="AN21" s="101"/>
      <c r="AO21" s="108"/>
      <c r="AP21" s="109"/>
      <c r="AQ21" s="108"/>
      <c r="AR21" s="110"/>
      <c r="AS21" s="102"/>
      <c r="AT21" s="102"/>
    </row>
    <row r="22" spans="2:52" x14ac:dyDescent="0.3">
      <c r="B22" s="6">
        <v>0</v>
      </c>
      <c r="C22" s="33">
        <v>1</v>
      </c>
      <c r="D22" s="7">
        <v>0</v>
      </c>
      <c r="E22" s="7">
        <v>0</v>
      </c>
      <c r="F22" s="8">
        <v>0</v>
      </c>
      <c r="AC22" s="46"/>
      <c r="AF22" s="128"/>
      <c r="AG22" s="129"/>
      <c r="AH22" s="130"/>
      <c r="AI22"/>
      <c r="AL22" s="106"/>
      <c r="AM22" s="107"/>
      <c r="AN22" s="101"/>
      <c r="AO22" s="108"/>
      <c r="AP22" s="109"/>
      <c r="AQ22" s="108"/>
      <c r="AR22" s="110"/>
      <c r="AS22" s="102"/>
      <c r="AT22" s="102"/>
    </row>
    <row r="23" spans="2:52" x14ac:dyDescent="0.3">
      <c r="B23" s="6">
        <v>0</v>
      </c>
      <c r="C23" s="7">
        <v>0</v>
      </c>
      <c r="D23" s="33">
        <v>1</v>
      </c>
      <c r="E23" s="7">
        <v>0</v>
      </c>
      <c r="F23" s="8">
        <v>0</v>
      </c>
      <c r="H23" s="11" t="s">
        <v>1</v>
      </c>
      <c r="O23" s="66"/>
      <c r="AF23" s="99"/>
      <c r="AG23" s="129"/>
      <c r="AH23" s="130"/>
      <c r="AI23"/>
      <c r="AL23" s="113"/>
      <c r="AM23" s="101"/>
      <c r="AN23" s="101"/>
      <c r="AO23" s="101"/>
      <c r="AP23" s="103"/>
      <c r="AQ23" s="101"/>
      <c r="AR23" s="103"/>
      <c r="AS23" s="102"/>
      <c r="AT23" s="102"/>
    </row>
    <row r="24" spans="2:52" x14ac:dyDescent="0.3">
      <c r="B24" s="6">
        <v>0</v>
      </c>
      <c r="C24" s="7">
        <v>0</v>
      </c>
      <c r="D24" s="7">
        <v>0</v>
      </c>
      <c r="E24" s="33">
        <v>1</v>
      </c>
      <c r="F24" s="8">
        <v>0</v>
      </c>
      <c r="H24" s="2" t="s">
        <v>42</v>
      </c>
      <c r="N24" s="2" t="s">
        <v>3</v>
      </c>
      <c r="T24" s="2" t="s">
        <v>0</v>
      </c>
      <c r="Z24" s="2" t="s">
        <v>21</v>
      </c>
      <c r="AF24" s="99"/>
      <c r="AG24" s="129"/>
      <c r="AH24" s="130"/>
      <c r="AI24"/>
      <c r="AL24" s="101"/>
      <c r="AM24" s="101"/>
      <c r="AN24" s="101"/>
      <c r="AO24" s="101"/>
      <c r="AP24" s="101"/>
      <c r="AQ24" s="101"/>
      <c r="AR24" s="102"/>
      <c r="AS24" s="102"/>
      <c r="AT24" s="102"/>
    </row>
    <row r="25" spans="2:52" ht="15" thickBot="1" x14ac:dyDescent="0.35">
      <c r="B25" s="9">
        <v>0</v>
      </c>
      <c r="C25" s="10">
        <v>0</v>
      </c>
      <c r="D25" s="10">
        <v>0</v>
      </c>
      <c r="E25" s="10">
        <v>0</v>
      </c>
      <c r="F25" s="34">
        <v>1</v>
      </c>
      <c r="H25" s="39" t="str">
        <f>IF(OR(NOT(AND(0.0000000000000001&lt;H27,H27&lt;0.999999999999999)),NOT(AND(0.0000000000000001&lt;H28,H28&lt;0.999999999999999)),NOT(AND(0.0000000000000001&lt;H29,H29&lt;0.999999999999999)),NOT(AND(0.0000000000000001&lt;H30,H30&lt;0.999999999999999)),NOT(AND(0.0000000000000001&lt;I28,I28&lt;0.999999999999999)),NOT(AND(0.0000000000000001&lt;I29,I29&lt;0.999999999999999)),NOT(AND(0.0000000000000001&lt;I30,I30&lt;0.999999999999999)),NOT(AND(0.0000000000000001&lt;J29,J29&lt;0.999999999999999)),NOT(AND(0.0000000000000001&lt;J30,J30&lt;0.999999999999999)),NOT(AND(0.0000000000000001&lt;K30,K30&lt;0.999999999999999))),"ALL CELLS MUST BE 1E-16&lt;#&lt;[1.0 - 1E-16].","")</f>
        <v/>
      </c>
      <c r="I25" s="40"/>
      <c r="J25" s="40"/>
      <c r="K25" s="40"/>
      <c r="L25" s="40"/>
      <c r="Z25" s="51" t="s">
        <v>40</v>
      </c>
      <c r="AG25" s="67"/>
      <c r="AH25" s="73" t="s">
        <v>31</v>
      </c>
      <c r="AL25" s="106"/>
      <c r="AM25" s="114"/>
      <c r="AN25" s="101"/>
      <c r="AO25" s="108"/>
      <c r="AP25" s="109"/>
      <c r="AQ25" s="108"/>
      <c r="AR25" s="110"/>
      <c r="AS25" s="102"/>
      <c r="AT25" s="115"/>
    </row>
    <row r="26" spans="2:52" ht="15" thickBot="1" x14ac:dyDescent="0.35">
      <c r="G26" s="36"/>
      <c r="H26" s="41"/>
      <c r="I26" s="31">
        <f>H27</f>
        <v>2.5580984459118716E-3</v>
      </c>
      <c r="J26" s="31">
        <f>H28</f>
        <v>2.5580984459118716E-3</v>
      </c>
      <c r="K26" s="31">
        <f>H29</f>
        <v>2.5580984459118716E-3</v>
      </c>
      <c r="L26" s="31">
        <f>H30</f>
        <v>2.5580984459118699E-3</v>
      </c>
      <c r="M26" s="38"/>
      <c r="N26" s="16"/>
      <c r="O26" s="17"/>
      <c r="P26" s="17"/>
      <c r="Q26" s="17"/>
      <c r="R26" s="18"/>
      <c r="S26" s="7"/>
      <c r="T26" s="16">
        <v>1</v>
      </c>
      <c r="U26" s="25">
        <v>0</v>
      </c>
      <c r="V26" s="25">
        <v>0</v>
      </c>
      <c r="W26" s="25">
        <v>0</v>
      </c>
      <c r="X26" s="26">
        <v>0</v>
      </c>
      <c r="Y26" s="81"/>
      <c r="Z26" s="91">
        <f>SUMPRODUCT($T26:$X26,$T$26:$X$26)</f>
        <v>1</v>
      </c>
      <c r="AA26" s="83">
        <f>SUMPRODUCT($T26:$X26,$T$27:$X$27)</f>
        <v>0.17585763224056894</v>
      </c>
      <c r="AB26" s="83">
        <f>SUMPRODUCT($T26:$X26,$T$28:$X$28)</f>
        <v>0.17585763224056894</v>
      </c>
      <c r="AC26" s="83">
        <f>SUMPRODUCT($T26:$X26,$T$29:$X$29)</f>
        <v>0.17585763224056894</v>
      </c>
      <c r="AD26" s="84">
        <f>SUMPRODUCT($T26:$X26,$T$30:$X$30)</f>
        <v>0.17585763224056894</v>
      </c>
      <c r="AF26" s="77" t="s">
        <v>36</v>
      </c>
      <c r="AG26" s="67"/>
      <c r="AH26" s="74" t="s">
        <v>24</v>
      </c>
      <c r="AL26" s="106"/>
      <c r="AM26" s="114"/>
      <c r="AN26" s="101"/>
      <c r="AO26" s="108"/>
      <c r="AP26" s="109"/>
      <c r="AQ26" s="108"/>
      <c r="AR26" s="110"/>
      <c r="AS26" s="102"/>
      <c r="AT26" s="115"/>
    </row>
    <row r="27" spans="2:52" ht="15.6" thickTop="1" thickBot="1" x14ac:dyDescent="0.35">
      <c r="B27" s="66"/>
      <c r="E27" s="66"/>
      <c r="F27" s="66"/>
      <c r="G27" s="36"/>
      <c r="H27" s="48">
        <v>2.5580984459118716E-3</v>
      </c>
      <c r="I27" s="41"/>
      <c r="J27" s="31">
        <f>I28</f>
        <v>2.5580984459118699E-3</v>
      </c>
      <c r="K27" s="31">
        <f>I29</f>
        <v>2.5580984459118699E-3</v>
      </c>
      <c r="L27" s="31">
        <f>I30</f>
        <v>2.5580984459118699E-3</v>
      </c>
      <c r="M27" s="38"/>
      <c r="N27" s="19">
        <f>IF(H27=0.5,PI()/2,IF(H27&lt;0.5,ACOS(SQRT(_xlfn.BETA.INV(1-2*H27,0.5,(1+N$31+$E$14-5-2)/2))),PI()-ACOS(SQRT(_xlfn.BETA.INV(1-2*(1-H27),0.5,(1+N$31+$E$14-5-2)/2)))))</f>
        <v>1.3940194167961579</v>
      </c>
      <c r="O27" s="20"/>
      <c r="P27" s="20"/>
      <c r="Q27" s="20"/>
      <c r="R27" s="21"/>
      <c r="S27" s="7"/>
      <c r="T27" s="19">
        <f>COS(N27)</f>
        <v>0.17585763224056894</v>
      </c>
      <c r="U27" s="20">
        <f>SIN(N27)</f>
        <v>0.98441560998530531</v>
      </c>
      <c r="V27" s="27">
        <v>0</v>
      </c>
      <c r="W27" s="27">
        <v>0</v>
      </c>
      <c r="X27" s="28">
        <v>0</v>
      </c>
      <c r="Y27" s="81"/>
      <c r="Z27" s="92">
        <f>SUMPRODUCT($T27:$X27,$T$26:$X$26)</f>
        <v>0.17585763224056894</v>
      </c>
      <c r="AA27" s="29">
        <f>SUMPRODUCT($T27:$X27,$T$27:$X$27)</f>
        <v>0.99999999999999989</v>
      </c>
      <c r="AB27" s="30">
        <f>SUMPRODUCT($T27:$X27,$T$28:$X$28)</f>
        <v>0.20168216032013719</v>
      </c>
      <c r="AC27" s="30">
        <f>SUMPRODUCT($T27:$X27,$T$29:$X$29)</f>
        <v>0.20168216032013719</v>
      </c>
      <c r="AD27" s="86">
        <f>SUMPRODUCT($T27:$X27,$T$30:$X$30)</f>
        <v>0.20168216032013719</v>
      </c>
      <c r="AF27" s="72">
        <f>IF($H$25="",1-((1-2*MIN(H27,1-H27))*(1-2*MIN(H28,1-H28))*(1-2*MIN(H29,1-H29))*(1-2*MIN(H30,1-H30))*(1-2*MIN(I28,1-I28))*(1-2*MIN(I29,1-I29))*(1-2*MIN(I30,1-I30))*(1-2*MIN(J29,1-J29))*(1-2*MIN(J30,1-J30))*(1-2*MIN(K30,1-K30))),"ERR")</f>
        <v>5.0000000000000488E-2</v>
      </c>
      <c r="AH27" s="79">
        <f>IF($H$25="",LN(MAX(2*MIN(H27,1-H27),$AF$13))+LN(MAX(2*MIN(H28,1-H28),$AF$13))+LN(MAX(2*MIN(H29,1-H29),$AF$13))+LN(MAX(2*MIN(H30,1-H30),$AF$13))+LN(MAX(2*MIN(I28,1-I28),$AF$13))+LN(MAX(2*MIN(I29,1-I29),$AF$13))+LN(MAX(2*MIN(I30,1-I30),$AF$13))+LN(MAX(2*MIN(J29,1-J29),$AF$13))+LN(MAX(2*MIN(J30,1-J30),$AF$13))+LN(MAX(2*MIN(K30,1-K30),$AF$13)),"ERR")</f>
        <v>-52.753439105049658</v>
      </c>
      <c r="AL27" s="106"/>
      <c r="AM27" s="114"/>
      <c r="AN27" s="101"/>
      <c r="AO27" s="108"/>
      <c r="AP27" s="109"/>
      <c r="AQ27" s="108"/>
      <c r="AR27" s="110"/>
      <c r="AS27" s="102"/>
      <c r="AT27" s="115"/>
    </row>
    <row r="28" spans="2:52" x14ac:dyDescent="0.3">
      <c r="E28" s="53"/>
      <c r="F28" s="53" t="s">
        <v>11</v>
      </c>
      <c r="G28" s="36"/>
      <c r="H28" s="48">
        <v>2.5580984459118716E-3</v>
      </c>
      <c r="I28" s="48">
        <v>2.5580984459118699E-3</v>
      </c>
      <c r="J28" s="41"/>
      <c r="K28" s="31">
        <f>J29</f>
        <v>2.5580984459118699E-3</v>
      </c>
      <c r="L28" s="31">
        <f>J30</f>
        <v>2.5580984459118699E-3</v>
      </c>
      <c r="M28" s="38"/>
      <c r="N28" s="19">
        <f>IF(H28=0.5,PI()/2,IF(H28&lt;0.5,ACOS(SQRT(_xlfn.BETA.INV(1-2*H28,0.5,(1+N$31+$E$14-5-2)/2))),PI()-ACOS(SQRT(_xlfn.BETA.INV(1-2*(1-H28),0.5,(1+N$31+$E$14-5-2)/2)))))</f>
        <v>1.3940194167961579</v>
      </c>
      <c r="O28" s="66">
        <f>IF(I28=0.5,PI()/2,IF(I28&lt;0.5,ACOS(SQRT(_xlfn.BETA.INV(1-2*I28,0.5,(1+O$31+$E$14-5-2)/2))),PI()-ACOS(SQRT(_xlfn.BETA.INV(1-2*(1-I28),0.5,(1+O$31+$E$14-5-2)/2)))))</f>
        <v>1.3936659590624945</v>
      </c>
      <c r="P28" s="20"/>
      <c r="Q28" s="70"/>
      <c r="R28" s="21"/>
      <c r="S28" s="7"/>
      <c r="T28" s="19">
        <f>COS(N28)</f>
        <v>0.17585763224056894</v>
      </c>
      <c r="U28" s="20">
        <f>COS(O28)*SIN(N28)</f>
        <v>0.17345951422430911</v>
      </c>
      <c r="V28" s="20">
        <f>SIN(O28)*SIN(N28)</f>
        <v>0.96901284310777192</v>
      </c>
      <c r="W28" s="27">
        <v>0</v>
      </c>
      <c r="X28" s="28">
        <v>0</v>
      </c>
      <c r="Y28" s="81"/>
      <c r="Z28" s="92">
        <f>SUMPRODUCT($T28:$X28,$T$26:$X$26)</f>
        <v>0.17585763224056894</v>
      </c>
      <c r="AA28" s="30">
        <f>SUMPRODUCT($T28:$X28,$T$27:$X$27)</f>
        <v>0.20168216032013719</v>
      </c>
      <c r="AB28" s="29">
        <f>SUMPRODUCT($T28:$X28,$T$28:$X$28)</f>
        <v>0.99999999999999989</v>
      </c>
      <c r="AC28" s="30">
        <f>SUMPRODUCT($T28:$X28,$T$29:$X$29)</f>
        <v>0.22679731024697336</v>
      </c>
      <c r="AD28" s="86">
        <f>SUMPRODUCT($T28:$X28,$T$30:$X$30)</f>
        <v>0.22679731024697336</v>
      </c>
      <c r="AF28" s="99"/>
      <c r="AG28" s="99"/>
      <c r="AH28" s="99"/>
      <c r="AL28" s="106"/>
      <c r="AM28" s="114"/>
      <c r="AN28" s="101"/>
      <c r="AO28" s="108"/>
      <c r="AP28" s="109"/>
      <c r="AQ28" s="108"/>
      <c r="AR28" s="110"/>
      <c r="AS28" s="116"/>
      <c r="AT28" s="115"/>
    </row>
    <row r="29" spans="2:52" x14ac:dyDescent="0.3">
      <c r="E29" s="49"/>
      <c r="G29" s="36"/>
      <c r="H29" s="48">
        <v>2.5580984459118716E-3</v>
      </c>
      <c r="I29" s="48">
        <v>2.5580984459118699E-3</v>
      </c>
      <c r="J29" s="48">
        <v>2.5580984459118699E-3</v>
      </c>
      <c r="K29" s="41"/>
      <c r="L29" s="31">
        <f>K30</f>
        <v>2.5580984459118699E-3</v>
      </c>
      <c r="M29" s="38"/>
      <c r="N29" s="19">
        <f>IF(H29=0.5,PI()/2,IF(H29&lt;0.5,ACOS(SQRT(_xlfn.BETA.INV(1-2*H29,0.5,(1+N$31+$E$14-5-2)/2))),PI()-ACOS(SQRT(_xlfn.BETA.INV(1-2*(1-H29),0.5,(1+N$31+$E$14-5-2)/2)))))</f>
        <v>1.3940194167961579</v>
      </c>
      <c r="O29" s="20">
        <f>IF(I29=0.5,PI()/2,IF(I29&lt;0.5,ACOS(SQRT(_xlfn.BETA.INV(1-2*I29,0.5,(1+O$31+$E$14-5-2)/2))),PI()-ACOS(SQRT(_xlfn.BETA.INV(1-2*(1-I29),0.5,(1+O$31+$E$14-5-2)/2)))))</f>
        <v>1.3936659590624945</v>
      </c>
      <c r="P29" s="20">
        <f>IF(J29=0.5,PI()/2,IF(J29&lt;0.5,ACOS(SQRT(_xlfn.BETA.INV(1-2*J29,0.5,(1+P$31+$E$14-5-2)/2))),PI()-ACOS(SQRT(_xlfn.BETA.INV(1-2*(1-J29),0.5,(1+P$31+$E$14-5-2)/2)))))</f>
        <v>1.3933103727136689</v>
      </c>
      <c r="Q29" s="20"/>
      <c r="R29" s="21"/>
      <c r="S29" s="7"/>
      <c r="T29" s="19">
        <f>COS(N29)</f>
        <v>0.17585763224056894</v>
      </c>
      <c r="U29" s="20">
        <f>COS(O29)*SIN(N29)</f>
        <v>0.17345951422430911</v>
      </c>
      <c r="V29" s="20">
        <f>COS(P29)*SIN(O29)*SIN(N29)</f>
        <v>0.17108462651855971</v>
      </c>
      <c r="W29" s="20">
        <f>SIN(P29)*SIN(O29)*SIN(N29)</f>
        <v>0.95379030225559125</v>
      </c>
      <c r="X29" s="28">
        <v>0</v>
      </c>
      <c r="Y29" s="81"/>
      <c r="Z29" s="92">
        <f>SUMPRODUCT($T29:$X29,$T$26:$X$26)</f>
        <v>0.17585763224056894</v>
      </c>
      <c r="AA29" s="30">
        <f>SUMPRODUCT($T29:$X29,$T$27:$X$27)</f>
        <v>0.20168216032013719</v>
      </c>
      <c r="AB29" s="30">
        <f>SUMPRODUCT($T29:$X29,$T$28:$X$28)</f>
        <v>0.22679731024697336</v>
      </c>
      <c r="AC29" s="29">
        <f>SUMPRODUCT($T29:$X29,$T$29:$X$29)</f>
        <v>0.99999999999999967</v>
      </c>
      <c r="AD29" s="86">
        <f>SUMPRODUCT($T29:$X29,$T$30:$X$30)</f>
        <v>0.25121980253402953</v>
      </c>
      <c r="AF29" s="122"/>
      <c r="AG29" s="123"/>
      <c r="AH29" s="124"/>
      <c r="AI29" s="96"/>
      <c r="AJ29" s="96"/>
      <c r="AL29" s="106"/>
      <c r="AM29" s="117"/>
      <c r="AN29" s="101"/>
      <c r="AO29" s="108"/>
      <c r="AP29" s="109"/>
      <c r="AQ29" s="108"/>
      <c r="AR29" s="110"/>
      <c r="AS29" s="116"/>
      <c r="AT29" s="115"/>
    </row>
    <row r="30" spans="2:52" ht="15" thickBot="1" x14ac:dyDescent="0.35">
      <c r="E30" s="49"/>
      <c r="G30" s="36"/>
      <c r="H30" s="48">
        <v>2.5580984459118699E-3</v>
      </c>
      <c r="I30" s="48">
        <v>2.5580984459118699E-3</v>
      </c>
      <c r="J30" s="48">
        <v>2.5580984459118699E-3</v>
      </c>
      <c r="K30" s="48">
        <v>2.5580984459118699E-3</v>
      </c>
      <c r="L30" s="41"/>
      <c r="M30" s="38"/>
      <c r="N30" s="22">
        <f>IF(H30=0.5,PI()/2,IF(H30&lt;0.5,ACOS(SQRT(_xlfn.BETA.INV(1-2*H30,0.5,(1+N$31+$E$14-5-2)/2))),PI()-ACOS(SQRT(_xlfn.BETA.INV(1-2*(1-H30),0.5,(1+N$31+$E$14-5-2)/2)))))</f>
        <v>1.3940194167961579</v>
      </c>
      <c r="O30" s="23">
        <f>IF(I30=0.5,PI()/2,IF(I30&lt;0.5,ACOS(SQRT(_xlfn.BETA.INV(1-2*I30,0.5,(1+O$31+$E$14-5-2)/2))),PI()-ACOS(SQRT(_xlfn.BETA.INV(1-2*(1-I30),0.5,(1+O$31+$E$14-5-2)/2)))))</f>
        <v>1.3936659590624945</v>
      </c>
      <c r="P30" s="23">
        <f>IF(J30=0.5,PI()/2,IF(J30&lt;0.5,ACOS(SQRT(_xlfn.BETA.INV(1-2*J30,0.5,(1+P$31+$E$14-5-2)/2))),PI()-ACOS(SQRT(_xlfn.BETA.INV(1-2*(1-J30),0.5,(1+P$31+$E$14-5-2)/2)))))</f>
        <v>1.3933103727136689</v>
      </c>
      <c r="Q30" s="23">
        <f>IF(K30=0.5,PI()/2,IF(K30&lt;0.5,ACOS(SQRT(_xlfn.BETA.INV(1-2*K30,0.5,(1+Q$31+$E$14-5-2)/2))),PI()-ACOS(SQRT(_xlfn.BETA.INV(1-2*(1-K30),0.5,(1+Q$31+$E$14-5-2)/2)))))</f>
        <v>1.3929526362991158</v>
      </c>
      <c r="R30" s="24"/>
      <c r="S30" s="7"/>
      <c r="T30" s="22">
        <f>COS(N30)</f>
        <v>0.17585763224056894</v>
      </c>
      <c r="U30" s="23">
        <f>COS(O30)*SIN(N30)</f>
        <v>0.17345951422430911</v>
      </c>
      <c r="V30" s="23">
        <f>COS(P30)*SIN(O30)*SIN(N30)</f>
        <v>0.17108462651855971</v>
      </c>
      <c r="W30" s="23">
        <f>COS(Q30)*SIN(P30)*SIN(O30)*SIN(N30)</f>
        <v>0.16873283658918492</v>
      </c>
      <c r="X30" s="24">
        <f>SIN(Q30)*SIN(P30)*SIN(O30)*SIN(N30)</f>
        <v>0.93874659548430839</v>
      </c>
      <c r="Y30" s="81"/>
      <c r="Z30" s="93">
        <f>SUMPRODUCT($T30:$X30,$T$26:$X$26)</f>
        <v>0.17585763224056894</v>
      </c>
      <c r="AA30" s="94">
        <f>SUMPRODUCT($T30:$X30,$T$27:$X$27)</f>
        <v>0.20168216032013719</v>
      </c>
      <c r="AB30" s="94">
        <f>SUMPRODUCT($T30:$X30,$T$28:$X$28)</f>
        <v>0.22679731024697336</v>
      </c>
      <c r="AC30" s="94">
        <f>SUMPRODUCT($T30:$X30,$T$29:$X$29)</f>
        <v>0.25121980253402953</v>
      </c>
      <c r="AD30" s="95">
        <f>SUMPRODUCT($T30:$X30,$T$30:$X$30)</f>
        <v>0.99999999999999978</v>
      </c>
      <c r="AF30" s="125"/>
      <c r="AG30" s="131"/>
      <c r="AH30" s="127"/>
      <c r="AI30" s="97"/>
      <c r="AJ30" s="96"/>
      <c r="AL30" s="106"/>
      <c r="AM30" s="117"/>
      <c r="AN30" s="101"/>
      <c r="AO30" s="108"/>
      <c r="AP30" s="109"/>
      <c r="AQ30" s="108"/>
      <c r="AR30" s="110"/>
      <c r="AS30" s="116"/>
      <c r="AT30" s="115"/>
      <c r="AU30" s="118"/>
    </row>
    <row r="31" spans="2:52" ht="15" thickTop="1" x14ac:dyDescent="0.3">
      <c r="H31" s="37"/>
      <c r="I31" s="37"/>
      <c r="J31" s="37"/>
      <c r="K31" s="37"/>
      <c r="L31" s="37"/>
      <c r="M31" s="15" t="s">
        <v>2</v>
      </c>
      <c r="N31" s="7">
        <v>4</v>
      </c>
      <c r="O31" s="7">
        <v>3</v>
      </c>
      <c r="P31" s="7">
        <v>2</v>
      </c>
      <c r="Q31" s="7">
        <v>1</v>
      </c>
      <c r="Y31" s="15"/>
      <c r="Z31" s="7"/>
      <c r="AA31" s="7"/>
      <c r="AB31" s="7"/>
      <c r="AC31" s="7"/>
      <c r="AF31" s="125"/>
      <c r="AG31" s="131"/>
      <c r="AH31" s="127"/>
      <c r="AI31" s="97"/>
      <c r="AJ31" s="96"/>
      <c r="AL31" s="106"/>
      <c r="AM31" s="117"/>
      <c r="AN31" s="101"/>
      <c r="AO31" s="108"/>
      <c r="AP31" s="109"/>
      <c r="AQ31" s="108"/>
      <c r="AR31" s="110"/>
      <c r="AS31" s="102"/>
      <c r="AT31" s="115"/>
    </row>
    <row r="32" spans="2:52" ht="14.4" customHeight="1" x14ac:dyDescent="0.3">
      <c r="H32" s="7"/>
      <c r="AF32" s="99"/>
      <c r="AG32" s="132"/>
      <c r="AH32" s="133"/>
      <c r="AI32"/>
      <c r="AL32" s="106"/>
      <c r="AM32" s="117"/>
      <c r="AN32" s="101"/>
      <c r="AO32" s="108"/>
      <c r="AP32" s="109"/>
      <c r="AQ32" s="108"/>
      <c r="AR32" s="110"/>
      <c r="AS32" s="102"/>
      <c r="AT32" s="115"/>
    </row>
    <row r="33" spans="2:46" x14ac:dyDescent="0.3">
      <c r="H33" s="2" t="s">
        <v>28</v>
      </c>
      <c r="AF33" s="99"/>
      <c r="AG33" s="129"/>
      <c r="AH33" s="130"/>
      <c r="AI33"/>
      <c r="AL33" s="106"/>
      <c r="AM33" s="117"/>
      <c r="AN33" s="101"/>
      <c r="AO33" s="108"/>
      <c r="AP33" s="109"/>
      <c r="AQ33" s="108"/>
      <c r="AR33" s="110"/>
      <c r="AS33" s="102"/>
      <c r="AT33" s="115"/>
    </row>
    <row r="34" spans="2:46" x14ac:dyDescent="0.3">
      <c r="C34" s="53" t="str">
        <f>IF(NOT(AND(E36&gt;0,E36&lt;1)),"ERROR: enforce 0&lt;α&lt;1","")</f>
        <v/>
      </c>
      <c r="H34" s="2" t="s">
        <v>45</v>
      </c>
      <c r="N34" s="2" t="s">
        <v>3</v>
      </c>
      <c r="T34" s="2" t="s">
        <v>0</v>
      </c>
      <c r="Z34" s="2" t="s">
        <v>22</v>
      </c>
      <c r="AF34" s="99"/>
      <c r="AG34" s="129"/>
      <c r="AH34" s="130"/>
      <c r="AI34"/>
      <c r="AL34" s="106"/>
      <c r="AM34" s="114"/>
      <c r="AN34" s="101"/>
      <c r="AO34" s="108"/>
      <c r="AP34" s="109"/>
      <c r="AQ34" s="108"/>
      <c r="AR34" s="110"/>
      <c r="AS34" s="102"/>
      <c r="AT34" s="115"/>
    </row>
    <row r="35" spans="2:46" ht="15" thickBot="1" x14ac:dyDescent="0.35">
      <c r="B35" s="11" t="s">
        <v>1</v>
      </c>
      <c r="H35" s="39" t="str">
        <f>IF(OR(NOT(AND(0.0000000000000001&lt;H37,H37&lt;0.999999999999999)),NOT(AND(0.0000000000000001&lt;H38,H38&lt;0.999999999999999)),NOT(AND(0.0000000000000001&lt;H39,H39&lt;0.999999999999999)),NOT(AND(0.0000000000000001&lt;H40,H40&lt;0.999999999999999)),NOT(AND(0.0000000000000001&lt;I38,I38&lt;0.999999999999999)),NOT(AND(0.0000000000000001&lt;I39,I39&lt;0.999999999999999)),NOT(AND(0.0000000000000001&lt;I40,I40&lt;0.999999999999999)),NOT(AND(0.0000000000000001&lt;J39,J39&lt;0.999999999999999)),NOT(AND(0.0000000000000001&lt;J40,J40&lt;0.999999999999999)),NOT(AND(0.0000000000000001&lt;K40,K40&lt;0.999999999999999))),"ALL CELLS MUST BE 1E-16&lt;#&lt;[1.0 - 1E-16].","")</f>
        <v/>
      </c>
      <c r="I35" s="40"/>
      <c r="J35" s="40"/>
      <c r="K35" s="40"/>
      <c r="L35" s="40"/>
      <c r="Z35" s="40"/>
      <c r="AA35" s="40"/>
      <c r="AB35" s="40"/>
      <c r="AC35" s="40"/>
      <c r="AD35" s="40"/>
      <c r="AG35" s="64"/>
      <c r="AH35" s="73" t="s">
        <v>31</v>
      </c>
      <c r="AL35" s="101"/>
      <c r="AM35" s="101"/>
      <c r="AN35" s="101"/>
      <c r="AO35" s="101"/>
      <c r="AP35" s="103"/>
      <c r="AQ35" s="101"/>
      <c r="AR35" s="103"/>
      <c r="AS35" s="102"/>
      <c r="AT35" s="102"/>
    </row>
    <row r="36" spans="2:46" ht="15.6" thickTop="1" thickBot="1" x14ac:dyDescent="0.35">
      <c r="C36" s="50" t="s">
        <v>6</v>
      </c>
      <c r="D36" s="50"/>
      <c r="E36" s="68">
        <v>0.05</v>
      </c>
      <c r="F36" s="53" t="s">
        <v>18</v>
      </c>
      <c r="G36" s="36"/>
      <c r="H36" s="41"/>
      <c r="I36" s="31">
        <f>H37</f>
        <v>2.528578544461757E-3</v>
      </c>
      <c r="J36" s="31">
        <f>H38</f>
        <v>2.528578544461757E-3</v>
      </c>
      <c r="K36" s="31">
        <f>H39</f>
        <v>2.528578544461757E-3</v>
      </c>
      <c r="L36" s="31">
        <f>H40</f>
        <v>2.528578544461757E-3</v>
      </c>
      <c r="M36" s="38"/>
      <c r="N36" s="16"/>
      <c r="O36" s="17"/>
      <c r="P36" s="17"/>
      <c r="Q36" s="17"/>
      <c r="R36" s="18"/>
      <c r="S36" s="7"/>
      <c r="T36" s="16">
        <v>1</v>
      </c>
      <c r="U36" s="25">
        <v>0</v>
      </c>
      <c r="V36" s="25">
        <v>0</v>
      </c>
      <c r="W36" s="25">
        <v>0</v>
      </c>
      <c r="X36" s="26">
        <v>0</v>
      </c>
      <c r="Y36" s="45"/>
      <c r="Z36" s="29">
        <f>SUMPRODUCT($T36:$X36,$T$36:$X$36)</f>
        <v>1</v>
      </c>
      <c r="AA36" s="30">
        <f>SUMPRODUCT($T36:$X36,$T$37:$X$37)</f>
        <v>0.17608919313381383</v>
      </c>
      <c r="AB36" s="30">
        <f>SUMPRODUCT($T36:$X36,$T$38:$X$38)</f>
        <v>0.17608919313381383</v>
      </c>
      <c r="AC36" s="30">
        <f>SUMPRODUCT($T36:$X36,$T$39:$X$39)</f>
        <v>0.17608919313381383</v>
      </c>
      <c r="AD36" s="30">
        <f>SUMPRODUCT($T36:$X36,$T$40:$X$40)</f>
        <v>0.17608919313381383</v>
      </c>
      <c r="AE36" s="43"/>
      <c r="AF36" s="71" t="s">
        <v>25</v>
      </c>
      <c r="AG36" s="64"/>
      <c r="AH36" s="74" t="s">
        <v>26</v>
      </c>
      <c r="AL36" s="101"/>
      <c r="AM36" s="101"/>
      <c r="AN36" s="101"/>
      <c r="AO36" s="101"/>
      <c r="AP36" s="101"/>
      <c r="AQ36" s="101"/>
      <c r="AR36" s="102"/>
      <c r="AS36" s="102"/>
      <c r="AT36" s="102"/>
    </row>
    <row r="37" spans="2:46" ht="15.6" thickTop="1" thickBot="1" x14ac:dyDescent="0.35">
      <c r="C37" s="51" t="s">
        <v>7</v>
      </c>
      <c r="D37" s="51"/>
      <c r="E37" s="69">
        <f>IF(C34="",1-E36,"")</f>
        <v>0.95</v>
      </c>
      <c r="F37" s="1"/>
      <c r="G37" s="36"/>
      <c r="H37" s="56">
        <f>IF($C$34="",(1-(1-$E$36/2)^(1/10)),"")</f>
        <v>2.528578544461757E-3</v>
      </c>
      <c r="I37" s="41"/>
      <c r="J37" s="31">
        <f>I38</f>
        <v>2.528578544461757E-3</v>
      </c>
      <c r="K37" s="31">
        <f>I39</f>
        <v>2.528578544461757E-3</v>
      </c>
      <c r="L37" s="31">
        <f>I40</f>
        <v>2.528578544461757E-3</v>
      </c>
      <c r="M37" s="38"/>
      <c r="N37" s="19">
        <f>IF(H37=0.5,PI()/2,IF(H37&lt;0.5,ACOS(SQRT(_xlfn.BETA.INV(1-2*H37,0.5,(1+N$31+$E$14-5-2)/2))),PI()-ACOS(SQRT(_xlfn.BETA.INV(1-2*(1-H37),0.5,(1+N$31+$E$14-5-2)/2)))))</f>
        <v>1.3937841850927182</v>
      </c>
      <c r="O37" s="20"/>
      <c r="P37" s="20"/>
      <c r="Q37" s="20"/>
      <c r="R37" s="21"/>
      <c r="S37" s="7"/>
      <c r="T37" s="19">
        <f>COS(N37)</f>
        <v>0.17608919313381383</v>
      </c>
      <c r="U37" s="20">
        <f>SIN(N37)</f>
        <v>0.984374215459488</v>
      </c>
      <c r="V37" s="27">
        <v>0</v>
      </c>
      <c r="W37" s="27">
        <v>0</v>
      </c>
      <c r="X37" s="28">
        <v>0</v>
      </c>
      <c r="Y37" s="45"/>
      <c r="Z37" s="30">
        <f>SUMPRODUCT($T37:$X37,$T$36:$X$36)</f>
        <v>0.17608919313381383</v>
      </c>
      <c r="AA37" s="29">
        <f>SUMPRODUCT($T37:$X37,$T$37:$X$37)</f>
        <v>1</v>
      </c>
      <c r="AB37" s="30">
        <f>SUMPRODUCT($T37:$X37,$T$38:$X$38)</f>
        <v>0.20197410760553941</v>
      </c>
      <c r="AC37" s="30">
        <f>SUMPRODUCT($T37:$X37,$T$39:$X$39)</f>
        <v>0.20197410760553941</v>
      </c>
      <c r="AD37" s="30">
        <f>SUMPRODUCT($T37:$X37,$T$40:$X$40)</f>
        <v>0.20197410760553941</v>
      </c>
      <c r="AE37" s="43"/>
      <c r="AF37" s="72">
        <f>IF($H$35="",1-((1-MIN(H37,1-H37))*(1-MIN(H38,1-H38))*(1-MIN(H39,1-H39))*(1-MIN(H40,1-H40))*(1-MIN(I38,1-I38))*(1-MIN(I39,1-I39))*(1-MIN(I40,1-I40))*(1-MIN(J39,1-J39))*(1-MIN(J40,1-J40))*(1-MIN(K40,1-K40))),"ERR")</f>
        <v>2.4999999999999689E-2</v>
      </c>
      <c r="AH37" s="79">
        <f>IF($H$35="",LN(MAX(MIN(H37,1-H37),$AF$13))+LN(MAX(MIN(H38,1-H38),$AF$13))+LN(MAX(MIN(H39,1-H39),$AF$13))+LN(MAX(MIN(H40,1-H40),$AF$13))+LN(MAX(MIN(I38,1-I38),$AF$13))+LN(MAX(MIN(I39,1-I39),$AF$13))+LN(MAX(MIN(I40,1-I40),$AF$13))+LN(MAX(MIN(J39,1-J39),$AF$13))+LN(MAX(MIN(J40,1-J40),$AF$13))+LN(MAX(MIN(K40,1-K40),$AF$13)),"ERR")</f>
        <v>-59.800979742677129</v>
      </c>
      <c r="AL37" s="119"/>
      <c r="AM37" s="119"/>
      <c r="AN37" s="119"/>
      <c r="AO37" s="119"/>
      <c r="AP37" s="101"/>
      <c r="AQ37" s="101"/>
      <c r="AR37" s="102"/>
      <c r="AS37" s="102"/>
      <c r="AT37" s="102"/>
    </row>
    <row r="38" spans="2:46" x14ac:dyDescent="0.3">
      <c r="C38" s="50"/>
      <c r="D38" s="50"/>
      <c r="E38" s="55"/>
      <c r="G38" s="36"/>
      <c r="H38" s="56">
        <f>IF($C$34="",(1-(1-$E$36/2)^(1/10)),"")</f>
        <v>2.528578544461757E-3</v>
      </c>
      <c r="I38" s="56">
        <f>IF($C$34="",(1-(1-$E$36/2)^(1/10)),"")</f>
        <v>2.528578544461757E-3</v>
      </c>
      <c r="J38" s="41"/>
      <c r="K38" s="31">
        <f>J39</f>
        <v>2.528578544461757E-3</v>
      </c>
      <c r="L38" s="31">
        <f>J40</f>
        <v>2.528578544461757E-3</v>
      </c>
      <c r="M38" s="38"/>
      <c r="N38" s="19">
        <f>IF(H38=0.5,PI()/2,IF(H38&lt;0.5,ACOS(SQRT(_xlfn.BETA.INV(1-2*H38,0.5,(1+N$31+$E$14-5-2)/2))),PI()-ACOS(SQRT(_xlfn.BETA.INV(1-2*(1-H38),0.5,(1+N$31+$E$14-5-2)/2)))))</f>
        <v>1.3937841850927182</v>
      </c>
      <c r="O38" s="20">
        <f>IF(I38=0.5,PI()/2,IF(I38&lt;0.5,ACOS(SQRT(_xlfn.BETA.INV(1-2*I38,0.5,(1+O$31+$E$14-5-2)/2))),PI()-ACOS(SQRT(_xlfn.BETA.INV(1-2*(1-I38),0.5,(1+O$31+$E$14-5-2)/2)))))</f>
        <v>1.393430262046008</v>
      </c>
      <c r="P38" s="20"/>
      <c r="Q38" s="20"/>
      <c r="R38" s="21"/>
      <c r="S38" s="7"/>
      <c r="T38" s="19">
        <f>COS(N38)</f>
        <v>0.17608919313381383</v>
      </c>
      <c r="U38" s="20">
        <f>COS(O38)*SIN(N38)</f>
        <v>0.17368059929040064</v>
      </c>
      <c r="V38" s="20">
        <f>SIN(O38)*SIN(N38)</f>
        <v>0.96893118718080784</v>
      </c>
      <c r="W38" s="27">
        <v>0</v>
      </c>
      <c r="X38" s="28">
        <v>0</v>
      </c>
      <c r="Y38" s="45"/>
      <c r="Z38" s="30">
        <f>SUMPRODUCT($T38:$X38,$T$36:$X$36)</f>
        <v>0.17608919313381383</v>
      </c>
      <c r="AA38" s="30">
        <f>SUMPRODUCT($T38:$X38,$T$37:$X$37)</f>
        <v>0.20197410760553941</v>
      </c>
      <c r="AB38" s="29">
        <f>SUMPRODUCT($T38:$X38,$T$38:$X$38)</f>
        <v>1</v>
      </c>
      <c r="AC38" s="30">
        <f>SUMPRODUCT($T38:$X38,$T$39:$X$39)</f>
        <v>0.22714584654826447</v>
      </c>
      <c r="AD38" s="30">
        <f>SUMPRODUCT($T38:$X38,$T$40:$X$40)</f>
        <v>0.22714584654826447</v>
      </c>
      <c r="AE38" s="43"/>
      <c r="AF38" s="99"/>
      <c r="AG38" s="99"/>
      <c r="AH38" s="99"/>
      <c r="AL38" s="119"/>
      <c r="AM38" s="119"/>
      <c r="AN38" s="119"/>
      <c r="AO38" s="119"/>
      <c r="AP38" s="101"/>
      <c r="AQ38" s="101"/>
      <c r="AR38" s="102"/>
      <c r="AS38" s="102"/>
      <c r="AT38" s="102"/>
    </row>
    <row r="39" spans="2:46" x14ac:dyDescent="0.3">
      <c r="B39" s="51"/>
      <c r="C39" s="50"/>
      <c r="D39" s="50"/>
      <c r="E39" s="49"/>
      <c r="G39" s="36"/>
      <c r="H39" s="56">
        <f>IF($C$34="",(1-(1-$E$36/2)^(1/10)),"")</f>
        <v>2.528578544461757E-3</v>
      </c>
      <c r="I39" s="56">
        <f>IF($C$34="",(1-(1-$E$36/2)^(1/10)),"")</f>
        <v>2.528578544461757E-3</v>
      </c>
      <c r="J39" s="56">
        <f>IF($C$34="",(1-(1-$E$36/2)^(1/10)),"")</f>
        <v>2.528578544461757E-3</v>
      </c>
      <c r="K39" s="41"/>
      <c r="L39" s="31">
        <f>K40</f>
        <v>2.528578544461757E-3</v>
      </c>
      <c r="M39" s="38"/>
      <c r="N39" s="19">
        <f>IF(H39=0.5,PI()/2,IF(H39&lt;0.5,ACOS(SQRT(_xlfn.BETA.INV(1-2*H39,0.5,(1+N$31+$E$14-5-2)/2))),PI()-ACOS(SQRT(_xlfn.BETA.INV(1-2*(1-H39),0.5,(1+N$31+$E$14-5-2)/2)))))</f>
        <v>1.3937841850927182</v>
      </c>
      <c r="O39" s="20">
        <f>IF(I39=0.5,PI()/2,IF(I39&lt;0.5,ACOS(SQRT(_xlfn.BETA.INV(1-2*I39,0.5,(1+O$31+$E$14-5-2)/2))),PI()-ACOS(SQRT(_xlfn.BETA.INV(1-2*(1-I39),0.5,(1+O$31+$E$14-5-2)/2)))))</f>
        <v>1.393430262046008</v>
      </c>
      <c r="P39" s="20">
        <f>IF(J39=0.5,PI()/2,IF(J39&lt;0.5,ACOS(SQRT(_xlfn.BETA.INV(1-2*J39,0.5,(1+P$31+$E$14-5-2)/2))),PI()-ACOS(SQRT(_xlfn.BETA.INV(1-2*(1-J39),0.5,(1+P$31+$E$14-5-2)/2)))))</f>
        <v>1.3930742076125648</v>
      </c>
      <c r="Q39" s="20"/>
      <c r="R39" s="21"/>
      <c r="S39" s="7"/>
      <c r="T39" s="19">
        <f>COS(N39)</f>
        <v>0.17608919313381383</v>
      </c>
      <c r="U39" s="20">
        <f>COS(O39)*SIN(N39)</f>
        <v>0.17368059929040064</v>
      </c>
      <c r="V39" s="20">
        <f>COS(P39)*SIN(O39)*SIN(N39)</f>
        <v>0.17129543793794991</v>
      </c>
      <c r="W39" s="20">
        <f>SIN(P39)*SIN(O39)*SIN(N39)</f>
        <v>0.95366950167930586</v>
      </c>
      <c r="X39" s="28">
        <v>0</v>
      </c>
      <c r="Y39" s="45"/>
      <c r="Z39" s="30">
        <f>SUMPRODUCT($T39:$X39,$T$36:$X$36)</f>
        <v>0.17608919313381383</v>
      </c>
      <c r="AA39" s="30">
        <f>SUMPRODUCT($T39:$X39,$T$37:$X$37)</f>
        <v>0.20197410760553941</v>
      </c>
      <c r="AB39" s="30">
        <f>SUMPRODUCT($T39:$X39,$T$38:$X$38)</f>
        <v>0.22714584654826447</v>
      </c>
      <c r="AC39" s="29">
        <f>SUMPRODUCT($T39:$X39,$T$39:$X$39)</f>
        <v>0.99999999999999989</v>
      </c>
      <c r="AD39" s="30">
        <f>SUMPRODUCT($T39:$X39,$T$40:$X$40)</f>
        <v>0.25162127928475531</v>
      </c>
      <c r="AE39" s="43"/>
      <c r="AF39" s="99"/>
      <c r="AG39" s="129"/>
      <c r="AH39" s="130"/>
      <c r="AI39"/>
      <c r="AL39" s="119"/>
      <c r="AM39" s="119"/>
      <c r="AN39" s="119"/>
      <c r="AO39" s="119"/>
      <c r="AP39" s="101"/>
      <c r="AQ39" s="101"/>
      <c r="AR39" s="102"/>
      <c r="AS39" s="102"/>
      <c r="AT39" s="102"/>
    </row>
    <row r="40" spans="2:46" ht="15" thickBot="1" x14ac:dyDescent="0.35">
      <c r="B40" s="51"/>
      <c r="C40" s="52"/>
      <c r="D40" s="52"/>
      <c r="E40" s="57"/>
      <c r="F40" s="2"/>
      <c r="G40" s="36"/>
      <c r="H40" s="56">
        <f>IF($C$34="",(1-(1-$E$36/2)^(1/10)),"")</f>
        <v>2.528578544461757E-3</v>
      </c>
      <c r="I40" s="56">
        <f>IF($C$34="",(1-(1-$E$36/2)^(1/10)),"")</f>
        <v>2.528578544461757E-3</v>
      </c>
      <c r="J40" s="56">
        <f>IF($C$34="",(1-(1-$E$36/2)^(1/10)),"")</f>
        <v>2.528578544461757E-3</v>
      </c>
      <c r="K40" s="56">
        <f>IF($C$34="",(1-(1-$E$36/2)^(1/10)),"")</f>
        <v>2.528578544461757E-3</v>
      </c>
      <c r="L40" s="41"/>
      <c r="M40" s="38"/>
      <c r="N40" s="22">
        <f>IF(H40=0.5,PI()/2,IF(H40&lt;0.5,ACOS(SQRT(_xlfn.BETA.INV(1-2*H40,0.5,(1+N$31+$E$14-5-2)/2))),PI()-ACOS(SQRT(_xlfn.BETA.INV(1-2*(1-H40),0.5,(1+N$31+$E$14-5-2)/2)))))</f>
        <v>1.3937841850927182</v>
      </c>
      <c r="O40" s="23">
        <f>IF(I40=0.5,PI()/2,IF(I40&lt;0.5,ACOS(SQRT(_xlfn.BETA.INV(1-2*I40,0.5,(1+O$31+$E$14-5-2)/2))),PI()-ACOS(SQRT(_xlfn.BETA.INV(1-2*(1-I40),0.5,(1+O$31+$E$14-5-2)/2)))))</f>
        <v>1.393430262046008</v>
      </c>
      <c r="P40" s="23">
        <f>IF(J40=0.5,PI()/2,IF(J40&lt;0.5,ACOS(SQRT(_xlfn.BETA.INV(1-2*J40,0.5,(1+P$31+$E$14-5-2)/2))),PI()-ACOS(SQRT(_xlfn.BETA.INV(1-2*(1-J40),0.5,(1+P$31+$E$14-5-2)/2)))))</f>
        <v>1.3930742076125648</v>
      </c>
      <c r="Q40" s="23">
        <f>IF(K40=0.5,PI()/2,IF(K40&lt;0.5,ACOS(SQRT(_xlfn.BETA.INV(1-2*K40,0.5,(1+Q$31+$E$14-5-2)/2))),PI()-ACOS(SQRT(_xlfn.BETA.INV(1-2*(1-K40),0.5,(1+Q$31+$E$14-5-2)/2)))))</f>
        <v>1.3927160003142061</v>
      </c>
      <c r="R40" s="24"/>
      <c r="S40" s="7"/>
      <c r="T40" s="22">
        <f>COS(N40)</f>
        <v>0.17608919313381383</v>
      </c>
      <c r="U40" s="23">
        <f>COS(O40)*SIN(N40)</f>
        <v>0.17368059929040064</v>
      </c>
      <c r="V40" s="23">
        <f>COS(P40)*SIN(O40)*SIN(N40)</f>
        <v>0.17129543793794991</v>
      </c>
      <c r="W40" s="23">
        <f>COS(Q40)*SIN(P40)*SIN(O40)*SIN(N40)</f>
        <v>0.16893357440320764</v>
      </c>
      <c r="X40" s="24">
        <f>SIN(Q40)*SIN(P40)*SIN(O40)*SIN(N40)</f>
        <v>0.93858775075781364</v>
      </c>
      <c r="Y40" s="45"/>
      <c r="Z40" s="30">
        <f>SUMPRODUCT($T40:$X40,$T$36:$X$36)</f>
        <v>0.17608919313381383</v>
      </c>
      <c r="AA40" s="30">
        <f>SUMPRODUCT($T40:$X40,$T$37:$X$37)</f>
        <v>0.20197410760553941</v>
      </c>
      <c r="AB40" s="30">
        <f>SUMPRODUCT($T40:$X40,$T$38:$X$38)</f>
        <v>0.22714584654826447</v>
      </c>
      <c r="AC40" s="30">
        <f>SUMPRODUCT($T40:$X40,$T$39:$X$39)</f>
        <v>0.25162127928475531</v>
      </c>
      <c r="AD40" s="29">
        <f>SUMPRODUCT($T40:$X40,$T$40:$X$40)</f>
        <v>1.0000000000000002</v>
      </c>
      <c r="AE40" s="43"/>
      <c r="AF40" s="99"/>
      <c r="AG40" s="129"/>
      <c r="AH40" s="130"/>
      <c r="AI40" s="70"/>
      <c r="AL40" s="119"/>
      <c r="AM40" s="119"/>
      <c r="AN40" s="119"/>
      <c r="AO40" s="119"/>
      <c r="AP40" s="101"/>
      <c r="AQ40" s="101"/>
      <c r="AR40" s="102"/>
      <c r="AS40" s="102"/>
      <c r="AT40" s="102"/>
    </row>
    <row r="41" spans="2:46" ht="15" thickTop="1" x14ac:dyDescent="0.3">
      <c r="B41" s="51"/>
      <c r="F41" s="14"/>
      <c r="H41" s="37"/>
      <c r="I41" s="37"/>
      <c r="J41" s="37"/>
      <c r="K41" s="37"/>
      <c r="L41" s="37"/>
      <c r="Z41" s="37"/>
      <c r="AA41" s="37"/>
      <c r="AB41" s="37"/>
      <c r="AC41" s="37"/>
      <c r="AD41" s="37"/>
      <c r="AF41" s="99"/>
      <c r="AG41" s="129"/>
      <c r="AH41" s="130"/>
      <c r="AI41"/>
    </row>
    <row r="42" spans="2:46" x14ac:dyDescent="0.3">
      <c r="B42" s="2"/>
      <c r="H42" s="2" t="s">
        <v>44</v>
      </c>
      <c r="N42" s="2" t="s">
        <v>3</v>
      </c>
      <c r="T42" s="2" t="s">
        <v>0</v>
      </c>
      <c r="Z42" s="2" t="s">
        <v>23</v>
      </c>
      <c r="AF42" s="99"/>
      <c r="AG42" s="129"/>
      <c r="AH42" s="130"/>
      <c r="AI42"/>
    </row>
    <row r="43" spans="2:46" ht="15" thickBot="1" x14ac:dyDescent="0.35">
      <c r="B43" s="2"/>
      <c r="H43" s="39" t="str">
        <f>IF(OR(NOT(AND(0.0000000000000001&lt;H45,H45&lt;0.999999999999999)),NOT(AND(0.0000000000000001&lt;H46,H46&lt;0.999999999999999)),NOT(AND(0.0000000000000001&lt;H47,H47&lt;0.999999999999999)),NOT(AND(0.0000000000000001&lt;H48,H48&lt;0.999999999999999)),NOT(AND(0.0000000000000001&lt;I46,I46&lt;0.999999999999999)),NOT(AND(0.0000000000000001&lt;I47,I47&lt;0.999999999999999)),NOT(AND(0.0000000000000001&lt;I48,I48&lt;0.999999999999999)),NOT(AND(0.0000000000000001&lt;J47,J47&lt;0.999999999999999)),NOT(AND(0.0000000000000001&lt;J48,J48&lt;0.999999999999999)),NOT(AND(0.0000000000000001&lt;K48,K48&lt;0.999999999999999))),"ALL CELLS MUST BE 1E-16&lt;#&lt;[1.0 - 1E-16].","")</f>
        <v/>
      </c>
      <c r="I43" s="40"/>
      <c r="J43" s="40"/>
      <c r="K43" s="40"/>
      <c r="L43" s="40"/>
      <c r="Z43" s="40"/>
      <c r="AA43" s="40"/>
      <c r="AB43" s="40"/>
      <c r="AC43" s="40"/>
      <c r="AD43" s="40"/>
      <c r="AG43" s="64"/>
      <c r="AH43" s="73" t="s">
        <v>31</v>
      </c>
    </row>
    <row r="44" spans="2:46" ht="15.6" thickTop="1" thickBot="1" x14ac:dyDescent="0.35">
      <c r="B44" s="2"/>
      <c r="F44" s="53" t="s">
        <v>18</v>
      </c>
      <c r="G44" s="36"/>
      <c r="H44" s="41"/>
      <c r="I44" s="31">
        <f>H45</f>
        <v>0.99747142145553824</v>
      </c>
      <c r="J44" s="31">
        <f>H46</f>
        <v>0.99747142145553824</v>
      </c>
      <c r="K44" s="31">
        <f>H47</f>
        <v>0.99747142145553824</v>
      </c>
      <c r="L44" s="31">
        <f>H48</f>
        <v>0.99747142145553824</v>
      </c>
      <c r="M44" s="38"/>
      <c r="N44" s="16"/>
      <c r="O44" s="17"/>
      <c r="P44" s="17"/>
      <c r="Q44" s="17"/>
      <c r="R44" s="18"/>
      <c r="S44" s="7"/>
      <c r="T44" s="16">
        <v>1</v>
      </c>
      <c r="U44" s="25">
        <v>0</v>
      </c>
      <c r="V44" s="25">
        <v>0</v>
      </c>
      <c r="W44" s="25">
        <v>0</v>
      </c>
      <c r="X44" s="26">
        <v>0</v>
      </c>
      <c r="Y44" s="45"/>
      <c r="Z44" s="29">
        <f>SUMPRODUCT($T44:$X44,$T$44:$X$44)</f>
        <v>1</v>
      </c>
      <c r="AA44" s="30">
        <f>SUMPRODUCT($T44:$X44,$T$45:$X$45)</f>
        <v>-0.17608919313381369</v>
      </c>
      <c r="AB44" s="30">
        <f>SUMPRODUCT($T44:$X44,$T$46:$X$46)</f>
        <v>-0.17608919313381369</v>
      </c>
      <c r="AC44" s="30">
        <f>SUMPRODUCT($T44:$X44,$T$47:$X$47)</f>
        <v>-0.17608919313381369</v>
      </c>
      <c r="AD44" s="30">
        <f>SUMPRODUCT($T44:$X44,$T$48:$X$48)</f>
        <v>-0.17608919313381369</v>
      </c>
      <c r="AE44" s="43"/>
      <c r="AF44" s="71" t="s">
        <v>25</v>
      </c>
      <c r="AG44" s="64"/>
      <c r="AH44" s="74" t="s">
        <v>26</v>
      </c>
    </row>
    <row r="45" spans="2:46" ht="15.6" thickTop="1" thickBot="1" x14ac:dyDescent="0.35">
      <c r="B45" s="51"/>
      <c r="F45" s="14"/>
      <c r="G45" s="36"/>
      <c r="H45" s="56">
        <f>IF($C$34="",1-H37,"")</f>
        <v>0.99747142145553824</v>
      </c>
      <c r="I45" s="41"/>
      <c r="J45" s="31">
        <f>I46</f>
        <v>0.99747142145553824</v>
      </c>
      <c r="K45" s="31">
        <f>I47</f>
        <v>0.99747142145553824</v>
      </c>
      <c r="L45" s="31">
        <f>I48</f>
        <v>0.99747142145553824</v>
      </c>
      <c r="M45" s="38"/>
      <c r="N45" s="19">
        <f>IF(H45=0.5,PI()/2,IF(H45&lt;0.5,ACOS(SQRT(_xlfn.BETA.INV(1-2*H45,0.5,(1+N$31+$E$14-5-2)/2))),PI()-ACOS(SQRT(_xlfn.BETA.INV(1-2*(1-H45),0.5,(1+N$31+$E$14-5-2)/2)))))</f>
        <v>1.7478084684970749</v>
      </c>
      <c r="O45" s="20"/>
      <c r="P45" s="20"/>
      <c r="Q45" s="20"/>
      <c r="R45" s="21"/>
      <c r="S45" s="7"/>
      <c r="T45" s="19">
        <f>COS(N45)</f>
        <v>-0.17608919313381369</v>
      </c>
      <c r="U45" s="20">
        <f>SIN(N45)</f>
        <v>0.984374215459488</v>
      </c>
      <c r="V45" s="27">
        <v>0</v>
      </c>
      <c r="W45" s="27">
        <v>0</v>
      </c>
      <c r="X45" s="28">
        <v>0</v>
      </c>
      <c r="Y45" s="45"/>
      <c r="Z45" s="30">
        <f>SUMPRODUCT($T45:$X45,$T$44:$X$44)</f>
        <v>-0.17608919313381369</v>
      </c>
      <c r="AA45" s="29">
        <f>SUMPRODUCT($T45:$X45,$T$45:$X$45)</f>
        <v>1</v>
      </c>
      <c r="AB45" s="30">
        <f>SUMPRODUCT($T45:$X45,$T$46:$X$46)</f>
        <v>-0.13995929972850421</v>
      </c>
      <c r="AC45" s="30">
        <f>SUMPRODUCT($T45:$X45,$T$47:$X$47)</f>
        <v>-0.13995929972850421</v>
      </c>
      <c r="AD45" s="30">
        <f>SUMPRODUCT($T45:$X45,$T$48:$X$48)</f>
        <v>-0.13995929972850421</v>
      </c>
      <c r="AE45" s="43"/>
      <c r="AF45" s="72">
        <f>IF($H$43="",1-((1-MIN(H45,1-H45))*(1-MIN(H46,1-H46))*(1-MIN(H47,1-H47))*(1-MIN(H48,1-H48))*(1-MIN(I46,1-I46))*(1-MIN(I47,1-I47))*(1-MIN(I48,1-I48))*(1-MIN(J47,1-J47))*(1-MIN(J48,1-J48))*(1-MIN(K48,1-K48))),"ERR")</f>
        <v>2.4999999999999689E-2</v>
      </c>
      <c r="AH45" s="79">
        <f>IF($H$43="",LN(MAX(MIN(H45,1-H45),$AF$13))+LN(MAX(MIN(H46,1-H46),$AF$13))+LN(MAX(MIN(H47,1-H47),$AF$13))+LN(MAX(MIN(H48,1-H48),$AF$13))+LN(MAX(MIN(I46,1-I46),$AF$13))+LN(MAX(MIN(I47,1-I47),$AF$13))+LN(MAX(MIN(I48,1-I48),$AF$13))+LN(MAX(MIN(J47,1-J47),$AF$13))+LN(MAX(MIN(J48,1-J48),$AF$13))+LN(MAX(MIN(K48,1-K48),$AF$13)),"ERR")</f>
        <v>-59.800979742677129</v>
      </c>
      <c r="AL45" s="120"/>
      <c r="AM45" s="120"/>
      <c r="AN45" s="120"/>
      <c r="AO45" s="120"/>
    </row>
    <row r="46" spans="2:46" x14ac:dyDescent="0.3">
      <c r="F46" s="14"/>
      <c r="G46" s="36"/>
      <c r="H46" s="56">
        <f>IF($C$34="",1-H38,"")</f>
        <v>0.99747142145553824</v>
      </c>
      <c r="I46" s="56">
        <f>IF($C$34="",1-I38,"")</f>
        <v>0.99747142145553824</v>
      </c>
      <c r="J46" s="41"/>
      <c r="K46" s="31">
        <f>J47</f>
        <v>0.99747142145553824</v>
      </c>
      <c r="L46" s="31">
        <f>J48</f>
        <v>0.99747142145553824</v>
      </c>
      <c r="M46" s="38"/>
      <c r="N46" s="19">
        <f>IF(H46=0.5,PI()/2,IF(H46&lt;0.5,ACOS(SQRT(_xlfn.BETA.INV(1-2*H46,0.5,(1+N$31+$E$14-5-2)/2))),PI()-ACOS(SQRT(_xlfn.BETA.INV(1-2*(1-H46),0.5,(1+N$31+$E$14-5-2)/2)))))</f>
        <v>1.7478084684970749</v>
      </c>
      <c r="O46" s="20">
        <f>IF(I46=0.5,PI()/2,IF(I46&lt;0.5,ACOS(SQRT(_xlfn.BETA.INV(1-2*I46,0.5,(1+O$31+$E$14-5-2)/2))),PI()-ACOS(SQRT(_xlfn.BETA.INV(1-2*(1-I46),0.5,(1+O$31+$E$14-5-2)/2)))))</f>
        <v>1.7481623915437852</v>
      </c>
      <c r="P46" s="20"/>
      <c r="Q46" s="20"/>
      <c r="R46" s="21"/>
      <c r="S46" s="7"/>
      <c r="T46" s="19">
        <f>COS(N46)</f>
        <v>-0.17608919313381369</v>
      </c>
      <c r="U46" s="20">
        <f>COS(O46)*SIN(N46)</f>
        <v>-0.17368059929040053</v>
      </c>
      <c r="V46" s="20">
        <f>SIN(O46)*SIN(N46)</f>
        <v>0.96893118718080784</v>
      </c>
      <c r="W46" s="27">
        <v>0</v>
      </c>
      <c r="X46" s="28">
        <v>0</v>
      </c>
      <c r="Y46" s="45"/>
      <c r="Z46" s="30">
        <f>SUMPRODUCT($T46:$X46,$T$44:$X$44)</f>
        <v>-0.17608919313381369</v>
      </c>
      <c r="AA46" s="30">
        <f>SUMPRODUCT($T46:$X46,$T$45:$X$45)</f>
        <v>-0.13995929972850421</v>
      </c>
      <c r="AB46" s="29">
        <f>SUMPRODUCT($T46:$X46,$T$46:$X$46)</f>
        <v>0.99999999999999989</v>
      </c>
      <c r="AC46" s="30">
        <f>SUMPRODUCT($T46:$X46,$T$47:$X$47)</f>
        <v>-0.10480113753148389</v>
      </c>
      <c r="AD46" s="30">
        <f>SUMPRODUCT($T46:$X46,$T$48:$X$48)</f>
        <v>-0.10480113753148389</v>
      </c>
      <c r="AE46" s="43"/>
      <c r="AF46" s="99"/>
      <c r="AG46" s="99"/>
      <c r="AH46" s="99"/>
      <c r="AL46" s="120"/>
      <c r="AM46" s="120"/>
      <c r="AN46" s="120"/>
      <c r="AO46" s="120"/>
    </row>
    <row r="47" spans="2:46" x14ac:dyDescent="0.3">
      <c r="F47" s="14"/>
      <c r="G47" s="36"/>
      <c r="H47" s="56">
        <f>IF($C$34="",1-H39,"")</f>
        <v>0.99747142145553824</v>
      </c>
      <c r="I47" s="56">
        <f>IF($C$34="",1-I39,"")</f>
        <v>0.99747142145553824</v>
      </c>
      <c r="J47" s="56">
        <f>IF($C$34="",1-J39,"")</f>
        <v>0.99747142145553824</v>
      </c>
      <c r="K47" s="41"/>
      <c r="L47" s="31">
        <f>K48</f>
        <v>0.99747142145553824</v>
      </c>
      <c r="M47" s="38"/>
      <c r="N47" s="19">
        <f>IF(H47=0.5,PI()/2,IF(H47&lt;0.5,ACOS(SQRT(_xlfn.BETA.INV(1-2*H47,0.5,(1+N$31+$E$14-5-2)/2))),PI()-ACOS(SQRT(_xlfn.BETA.INV(1-2*(1-H47),0.5,(1+N$31+$E$14-5-2)/2)))))</f>
        <v>1.7478084684970749</v>
      </c>
      <c r="O47" s="20">
        <f>IF(I47=0.5,PI()/2,IF(I47&lt;0.5,ACOS(SQRT(_xlfn.BETA.INV(1-2*I47,0.5,(1+O$31+$E$14-5-2)/2))),PI()-ACOS(SQRT(_xlfn.BETA.INV(1-2*(1-I47),0.5,(1+O$31+$E$14-5-2)/2)))))</f>
        <v>1.7481623915437852</v>
      </c>
      <c r="P47" s="20">
        <f>IF(J47=0.5,PI()/2,IF(J47&lt;0.5,ACOS(SQRT(_xlfn.BETA.INV(1-2*J47,0.5,(1+P$31+$E$14-5-2)/2))),PI()-ACOS(SQRT(_xlfn.BETA.INV(1-2*(1-J47),0.5,(1+P$31+$E$14-5-2)/2)))))</f>
        <v>1.7485184459772283</v>
      </c>
      <c r="Q47" s="20"/>
      <c r="R47" s="21"/>
      <c r="S47" s="7"/>
      <c r="T47" s="19">
        <f>COS(N47)</f>
        <v>-0.17608919313381369</v>
      </c>
      <c r="U47" s="20">
        <f>COS(O47)*SIN(N47)</f>
        <v>-0.17368059929040053</v>
      </c>
      <c r="V47" s="20">
        <f>COS(P47)*SIN(O47)*SIN(N47)</f>
        <v>-0.17129543793794982</v>
      </c>
      <c r="W47" s="20">
        <f>SIN(P47)*SIN(O47)*SIN(N47)</f>
        <v>0.95366950167930598</v>
      </c>
      <c r="X47" s="28">
        <v>0</v>
      </c>
      <c r="Y47" s="45"/>
      <c r="Z47" s="30">
        <f>SUMPRODUCT($T47:$X47,$T$44:$X$44)</f>
        <v>-0.17608919313381369</v>
      </c>
      <c r="AA47" s="30">
        <f>SUMPRODUCT($T47:$X47,$T$45:$X$45)</f>
        <v>-0.13995929972850421</v>
      </c>
      <c r="AB47" s="30">
        <f>SUMPRODUCT($T47:$X47,$T$46:$X$46)</f>
        <v>-0.10480113753148389</v>
      </c>
      <c r="AC47" s="29">
        <f>SUMPRODUCT($T47:$X47,$T$47:$X$47)</f>
        <v>1</v>
      </c>
      <c r="AD47" s="30">
        <f>SUMPRODUCT($T47:$X47,$T$48:$X$48)</f>
        <v>-7.0592316151266654E-2</v>
      </c>
      <c r="AE47" s="43"/>
      <c r="AF47" s="99"/>
      <c r="AG47" s="129"/>
      <c r="AH47" s="134"/>
      <c r="AI47"/>
      <c r="AL47" s="120"/>
      <c r="AM47" s="120"/>
      <c r="AN47" s="120"/>
      <c r="AO47" s="120"/>
    </row>
    <row r="48" spans="2:46" ht="15" thickBot="1" x14ac:dyDescent="0.35">
      <c r="F48" s="14"/>
      <c r="G48" s="36"/>
      <c r="H48" s="56">
        <f>IF($C$34="",1-H40,"")</f>
        <v>0.99747142145553824</v>
      </c>
      <c r="I48" s="56">
        <f>IF($C$34="",1-I40,"")</f>
        <v>0.99747142145553824</v>
      </c>
      <c r="J48" s="56">
        <f>IF($C$34="",1-J40,"")</f>
        <v>0.99747142145553824</v>
      </c>
      <c r="K48" s="56">
        <f>IF($C$34="",1-K40,"")</f>
        <v>0.99747142145553824</v>
      </c>
      <c r="L48" s="41"/>
      <c r="M48" s="38"/>
      <c r="N48" s="22">
        <f>IF(H48=0.5,PI()/2,IF(H48&lt;0.5,ACOS(SQRT(_xlfn.BETA.INV(1-2*H48,0.5,(1+N$31+$E$14-5-2)/2))),PI()-ACOS(SQRT(_xlfn.BETA.INV(1-2*(1-H48),0.5,(1+N$31+$E$14-5-2)/2)))))</f>
        <v>1.7478084684970749</v>
      </c>
      <c r="O48" s="23">
        <f>IF(I48=0.5,PI()/2,IF(I48&lt;0.5,ACOS(SQRT(_xlfn.BETA.INV(1-2*I48,0.5,(1+O$31+$E$14-5-2)/2))),PI()-ACOS(SQRT(_xlfn.BETA.INV(1-2*(1-I48),0.5,(1+O$31+$E$14-5-2)/2)))))</f>
        <v>1.7481623915437852</v>
      </c>
      <c r="P48" s="23">
        <f>IF(J48=0.5,PI()/2,IF(J48&lt;0.5,ACOS(SQRT(_xlfn.BETA.INV(1-2*J48,0.5,(1+P$31+$E$14-5-2)/2))),PI()-ACOS(SQRT(_xlfn.BETA.INV(1-2*(1-J48),0.5,(1+P$31+$E$14-5-2)/2)))))</f>
        <v>1.7485184459772283</v>
      </c>
      <c r="Q48" s="23">
        <f>IF(K48=0.5,PI()/2,IF(K48&lt;0.5,ACOS(SQRT(_xlfn.BETA.INV(1-2*K48,0.5,(1+Q$31+$E$14-5-2)/2))),PI()-ACOS(SQRT(_xlfn.BETA.INV(1-2*(1-K48),0.5,(1+Q$31+$E$14-5-2)/2)))))</f>
        <v>1.7488766532755871</v>
      </c>
      <c r="R48" s="24"/>
      <c r="S48" s="7"/>
      <c r="T48" s="22">
        <f>COS(N48)</f>
        <v>-0.17608919313381369</v>
      </c>
      <c r="U48" s="23">
        <f>COS(O48)*SIN(N48)</f>
        <v>-0.17368059929040053</v>
      </c>
      <c r="V48" s="23">
        <f>COS(P48)*SIN(O48)*SIN(N48)</f>
        <v>-0.17129543793794982</v>
      </c>
      <c r="W48" s="23">
        <f>COS(Q48)*SIN(P48)*SIN(O48)*SIN(N48)</f>
        <v>-0.16893357440320755</v>
      </c>
      <c r="X48" s="24">
        <f>SIN(Q48)*SIN(P48)*SIN(O48)*SIN(N48)</f>
        <v>0.93858775075781375</v>
      </c>
      <c r="Y48" s="45"/>
      <c r="Z48" s="30">
        <f>SUMPRODUCT($T48:$X48,$T$44:$X$44)</f>
        <v>-0.17608919313381369</v>
      </c>
      <c r="AA48" s="30">
        <f>SUMPRODUCT($T48:$X48,$T$45:$X$45)</f>
        <v>-0.13995929972850421</v>
      </c>
      <c r="AB48" s="30">
        <f>SUMPRODUCT($T48:$X48,$T$46:$X$46)</f>
        <v>-0.10480113753148389</v>
      </c>
      <c r="AC48" s="30">
        <f>SUMPRODUCT($T48:$X48,$T$47:$X$47)</f>
        <v>-7.0592316151266654E-2</v>
      </c>
      <c r="AD48" s="29">
        <f>SUMPRODUCT($T48:$X48,$T$48:$X$48)</f>
        <v>1.0000000000000002</v>
      </c>
      <c r="AE48" s="43"/>
      <c r="AF48" s="99"/>
      <c r="AG48" s="129"/>
      <c r="AH48" s="134"/>
      <c r="AI48" s="12"/>
      <c r="AL48" s="120"/>
      <c r="AM48" s="120"/>
      <c r="AN48" s="120"/>
      <c r="AO48" s="120"/>
    </row>
    <row r="49" spans="6:36" ht="15" thickTop="1" x14ac:dyDescent="0.3">
      <c r="F49" s="14"/>
      <c r="H49" s="37"/>
      <c r="I49" s="37"/>
      <c r="J49" s="37"/>
      <c r="K49" s="37"/>
      <c r="L49" s="37"/>
      <c r="M49" s="15"/>
      <c r="N49" s="7"/>
      <c r="O49" s="7"/>
      <c r="P49" s="7"/>
      <c r="Q49" s="7"/>
      <c r="Y49" s="15"/>
      <c r="Z49" s="44"/>
      <c r="AA49" s="44"/>
      <c r="AB49" s="44"/>
      <c r="AC49" s="44"/>
      <c r="AD49" s="37"/>
      <c r="AF49" s="135"/>
      <c r="AG49" s="129"/>
      <c r="AH49" s="134"/>
      <c r="AI49" s="65"/>
    </row>
    <row r="50" spans="6:36" x14ac:dyDescent="0.3">
      <c r="AF50" s="99"/>
      <c r="AG50" s="129"/>
      <c r="AH50" s="134"/>
      <c r="AI50" s="65"/>
    </row>
    <row r="51" spans="6:36" x14ac:dyDescent="0.3">
      <c r="AF51" s="99"/>
      <c r="AG51" s="129"/>
      <c r="AH51" s="134"/>
      <c r="AI51" s="65"/>
    </row>
    <row r="52" spans="6:36" x14ac:dyDescent="0.3">
      <c r="AF52" s="99"/>
      <c r="AG52" s="99"/>
      <c r="AH52" s="99"/>
      <c r="AJ52" s="65"/>
    </row>
    <row r="53" spans="6:36" x14ac:dyDescent="0.3">
      <c r="AF53" s="99"/>
      <c r="AG53" s="99"/>
      <c r="AH53" s="99"/>
      <c r="AJ53" s="65"/>
    </row>
    <row r="54" spans="6:36" x14ac:dyDescent="0.3">
      <c r="AF54" s="99"/>
      <c r="AG54" s="99"/>
      <c r="AH54" s="99"/>
      <c r="AJ54" s="65"/>
    </row>
    <row r="55" spans="6:36" x14ac:dyDescent="0.3">
      <c r="AJ55" s="65"/>
    </row>
    <row r="56" spans="6:36" x14ac:dyDescent="0.3">
      <c r="AJ56" s="65"/>
    </row>
    <row r="57" spans="6:36" x14ac:dyDescent="0.3">
      <c r="AJ57" s="65"/>
    </row>
    <row r="58" spans="6:36" x14ac:dyDescent="0.3">
      <c r="AJ58" s="65"/>
    </row>
    <row r="59" spans="6:36" x14ac:dyDescent="0.3">
      <c r="AJ59" s="65"/>
    </row>
    <row r="60" spans="6:36" x14ac:dyDescent="0.3">
      <c r="AJ60" s="65"/>
    </row>
    <row r="61" spans="6:36" x14ac:dyDescent="0.3">
      <c r="AJ61" s="65"/>
    </row>
    <row r="62" spans="6:36" x14ac:dyDescent="0.3">
      <c r="AJ62" s="65"/>
    </row>
    <row r="63" spans="6:36" x14ac:dyDescent="0.3">
      <c r="AJ63" s="65"/>
    </row>
    <row r="64" spans="6:36" x14ac:dyDescent="0.3">
      <c r="AJ64" s="65"/>
    </row>
  </sheetData>
  <sheetProtection algorithmName="SHA-512" hashValue="VJPSm05ugnjbeabMgPXW2msrB6ZSfESpzIiNunTGLgoMMd/4TLnKK6yAVu1Yts79+qDwS+5gEtB6A+USAlR7zg==" saltValue="RvGbXgVXeQGZGi/13r5GKA==" spinCount="100000" sheet="1" objects="1" scenarios="1"/>
  <pageMargins left="0.7" right="0.7" top="0.75" bottom="0.75" header="0.3" footer="0.3"/>
  <pageSetup orientation="portrait" r:id="rId1"/>
  <ignoredErrors>
    <ignoredError sqref="U2:U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JD Opdyke (2022)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jdopdyke</dc:creator>
  <cp:lastModifiedBy>J.D. Opdyke</cp:lastModifiedBy>
  <dcterms:created xsi:type="dcterms:W3CDTF">2022-03-12T16:14:34Z</dcterms:created>
  <dcterms:modified xsi:type="dcterms:W3CDTF">2026-01-04T19:59:02Z</dcterms:modified>
</cp:coreProperties>
</file>