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JAEQE\UCSB Seminar Series\"/>
    </mc:Choice>
  </mc:AlternateContent>
  <xr:revisionPtr revIDLastSave="0" documentId="13_ncr:1_{8832B00B-0163-41EA-95E0-CCD6D5782702}" xr6:coauthVersionLast="47" xr6:coauthVersionMax="47" xr10:uidLastSave="{00000000-0000-0000-0000-000000000000}"/>
  <bookViews>
    <workbookView xWindow="-108" yWindow="-108" windowWidth="30936" windowHeight="16776" xr2:uid="{5BFC0218-5CB8-4664-AA20-D744D60DC967}"/>
  </bookViews>
  <sheets>
    <sheet name="cos method mat p-v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2" l="1"/>
  <c r="B20" i="2"/>
  <c r="T24" i="2" l="1"/>
  <c r="T23" i="2"/>
  <c r="U23" i="2" s="1"/>
  <c r="T22" i="2"/>
  <c r="T21" i="2"/>
  <c r="Z24" i="2"/>
  <c r="AA24" i="2" s="1"/>
  <c r="Z23" i="2"/>
  <c r="Z22" i="2"/>
  <c r="Z21" i="2"/>
  <c r="AA23" i="2"/>
  <c r="AA22" i="2"/>
  <c r="AA21" i="2"/>
  <c r="U24" i="2"/>
  <c r="U22" i="2"/>
  <c r="U21" i="2"/>
  <c r="P125" i="2" l="1"/>
  <c r="O125" i="2"/>
  <c r="N125" i="2"/>
  <c r="M125" i="2"/>
  <c r="O124" i="2"/>
  <c r="N124" i="2"/>
  <c r="M124" i="2"/>
  <c r="N123" i="2"/>
  <c r="M123" i="2"/>
  <c r="M122" i="2"/>
  <c r="Y57" i="2"/>
  <c r="Y49" i="2"/>
  <c r="M98" i="2"/>
  <c r="M89" i="2"/>
  <c r="D25" i="2"/>
  <c r="G58" i="2" s="1"/>
  <c r="D59" i="2" s="1"/>
  <c r="D24" i="2"/>
  <c r="G39" i="2" s="1"/>
  <c r="D40" i="2" s="1"/>
  <c r="M78" i="2"/>
  <c r="M69" i="2"/>
  <c r="Y38" i="2"/>
  <c r="Y30" i="2"/>
  <c r="B22" i="2"/>
  <c r="K124" i="2"/>
  <c r="K123" i="2"/>
  <c r="J123" i="2"/>
  <c r="K122" i="2"/>
  <c r="J122" i="2"/>
  <c r="I122" i="2"/>
  <c r="Y121" i="2"/>
  <c r="K121" i="2"/>
  <c r="J121" i="2"/>
  <c r="I121" i="2"/>
  <c r="H121" i="2"/>
  <c r="AF122" i="2"/>
  <c r="M111" i="2"/>
  <c r="H57" i="2" l="1"/>
  <c r="G50" i="2"/>
  <c r="D51" i="2" s="1"/>
  <c r="G31" i="2"/>
  <c r="D32" i="2" s="1"/>
  <c r="G61" i="2"/>
  <c r="G59" i="2"/>
  <c r="I57" i="2" s="1"/>
  <c r="M58" i="2"/>
  <c r="G60" i="2"/>
  <c r="M59" i="2"/>
  <c r="S59" i="2" s="1"/>
  <c r="G34" i="2" l="1"/>
  <c r="K30" i="2" s="1"/>
  <c r="G52" i="2"/>
  <c r="M50" i="2"/>
  <c r="T50" i="2" s="1"/>
  <c r="H30" i="2"/>
  <c r="G33" i="2"/>
  <c r="J30" i="2" s="1"/>
  <c r="G32" i="2"/>
  <c r="I30" i="2" s="1"/>
  <c r="M31" i="2"/>
  <c r="T31" i="2" s="1"/>
  <c r="H49" i="2"/>
  <c r="G53" i="2"/>
  <c r="M53" i="2" s="1"/>
  <c r="S53" i="2" s="1"/>
  <c r="G51" i="2"/>
  <c r="M34" i="2"/>
  <c r="S34" i="2" s="1"/>
  <c r="M61" i="2"/>
  <c r="S61" i="2" s="1"/>
  <c r="K57" i="2"/>
  <c r="T58" i="2"/>
  <c r="S58" i="2"/>
  <c r="J49" i="2"/>
  <c r="M52" i="2"/>
  <c r="M60" i="2"/>
  <c r="J57" i="2"/>
  <c r="H38" i="2"/>
  <c r="M39" i="2"/>
  <c r="T39" i="2" s="1"/>
  <c r="G41" i="2"/>
  <c r="M41" i="2" s="1"/>
  <c r="S41" i="2" s="1"/>
  <c r="G42" i="2"/>
  <c r="K38" i="2" s="1"/>
  <c r="G40" i="2"/>
  <c r="I38" i="2" s="1"/>
  <c r="S50" i="2" l="1"/>
  <c r="Z58" i="2"/>
  <c r="Z57" i="2"/>
  <c r="Y58" i="2"/>
  <c r="M33" i="2"/>
  <c r="S33" i="2" s="1"/>
  <c r="M32" i="2"/>
  <c r="S32" i="2" s="1"/>
  <c r="K49" i="2"/>
  <c r="S31" i="2"/>
  <c r="Z31" i="2" s="1"/>
  <c r="I49" i="2"/>
  <c r="M51" i="2"/>
  <c r="S51" i="2" s="1"/>
  <c r="S60" i="2"/>
  <c r="S52" i="2"/>
  <c r="S39" i="2"/>
  <c r="M40" i="2"/>
  <c r="S40" i="2" s="1"/>
  <c r="J38" i="2"/>
  <c r="M42" i="2"/>
  <c r="S42" i="2" s="1"/>
  <c r="Z30" i="2" l="1"/>
  <c r="Y50" i="2"/>
  <c r="H93" i="2" s="1"/>
  <c r="Z49" i="2"/>
  <c r="Z50" i="2"/>
  <c r="Y39" i="2"/>
  <c r="I82" i="2" s="1"/>
  <c r="K80" i="2" s="1"/>
  <c r="Z38" i="2"/>
  <c r="Z39" i="2"/>
  <c r="Y31" i="2"/>
  <c r="H102" i="2"/>
  <c r="H101" i="2"/>
  <c r="H100" i="2"/>
  <c r="G102" i="2"/>
  <c r="I102" i="2"/>
  <c r="G101" i="2"/>
  <c r="G100" i="2"/>
  <c r="G99" i="2"/>
  <c r="J102" i="2"/>
  <c r="K101" i="2" s="1"/>
  <c r="I101" i="2"/>
  <c r="J93" i="2"/>
  <c r="I92" i="2"/>
  <c r="I93" i="2"/>
  <c r="H111" i="2"/>
  <c r="G93" i="2" l="1"/>
  <c r="H92" i="2"/>
  <c r="J90" i="2" s="1"/>
  <c r="H91" i="2"/>
  <c r="G90" i="2"/>
  <c r="G91" i="2"/>
  <c r="M91" i="2" s="1"/>
  <c r="S91" i="2" s="1"/>
  <c r="G92" i="2"/>
  <c r="M92" i="2" s="1"/>
  <c r="S92" i="2" s="1"/>
  <c r="J82" i="2"/>
  <c r="K81" i="2" s="1"/>
  <c r="G79" i="2"/>
  <c r="M79" i="2" s="1"/>
  <c r="G80" i="2"/>
  <c r="M80" i="2" s="1"/>
  <c r="S80" i="2" s="1"/>
  <c r="G82" i="2"/>
  <c r="K78" i="2" s="1"/>
  <c r="H81" i="2"/>
  <c r="J79" i="2" s="1"/>
  <c r="G81" i="2"/>
  <c r="M81" i="2" s="1"/>
  <c r="S81" i="2" s="1"/>
  <c r="H80" i="2"/>
  <c r="I79" i="2" s="1"/>
  <c r="M112" i="2"/>
  <c r="H82" i="2"/>
  <c r="K79" i="2" s="1"/>
  <c r="I81" i="2"/>
  <c r="J80" i="2" s="1"/>
  <c r="G70" i="2"/>
  <c r="M70" i="2" s="1"/>
  <c r="S70" i="2" s="1"/>
  <c r="J73" i="2"/>
  <c r="K72" i="2" s="1"/>
  <c r="I73" i="2"/>
  <c r="K71" i="2" s="1"/>
  <c r="I72" i="2"/>
  <c r="J71" i="2" s="1"/>
  <c r="H73" i="2"/>
  <c r="K70" i="2" s="1"/>
  <c r="H72" i="2"/>
  <c r="J70" i="2" s="1"/>
  <c r="H71" i="2"/>
  <c r="I70" i="2" s="1"/>
  <c r="G73" i="2"/>
  <c r="K69" i="2" s="1"/>
  <c r="G72" i="2"/>
  <c r="M72" i="2" s="1"/>
  <c r="S72" i="2" s="1"/>
  <c r="G71" i="2"/>
  <c r="M71" i="2" s="1"/>
  <c r="S71" i="2" s="1"/>
  <c r="K91" i="2"/>
  <c r="I90" i="2"/>
  <c r="K90" i="2"/>
  <c r="K92" i="2"/>
  <c r="J100" i="2"/>
  <c r="K98" i="2"/>
  <c r="M102" i="2"/>
  <c r="S102" i="2" s="1"/>
  <c r="H89" i="2"/>
  <c r="M90" i="2"/>
  <c r="M93" i="2"/>
  <c r="K89" i="2"/>
  <c r="I98" i="2"/>
  <c r="M100" i="2"/>
  <c r="S100" i="2" s="1"/>
  <c r="M99" i="2"/>
  <c r="H98" i="2"/>
  <c r="K100" i="2"/>
  <c r="K99" i="2"/>
  <c r="J91" i="2"/>
  <c r="M101" i="2"/>
  <c r="S101" i="2" s="1"/>
  <c r="J98" i="2"/>
  <c r="I99" i="2"/>
  <c r="J99" i="2"/>
  <c r="K114" i="2"/>
  <c r="J112" i="2"/>
  <c r="K112" i="2"/>
  <c r="J113" i="2"/>
  <c r="K113" i="2"/>
  <c r="I112" i="2"/>
  <c r="S112" i="2"/>
  <c r="Y112" i="2" s="1"/>
  <c r="Z111" i="2" s="1"/>
  <c r="N112" i="2"/>
  <c r="I69" i="2" l="1"/>
  <c r="J89" i="2"/>
  <c r="I89" i="2"/>
  <c r="M73" i="2"/>
  <c r="S73" i="2" s="1"/>
  <c r="J78" i="2"/>
  <c r="M82" i="2"/>
  <c r="S82" i="2" s="1"/>
  <c r="H78" i="2"/>
  <c r="I78" i="2"/>
  <c r="H69" i="2"/>
  <c r="J69" i="2"/>
  <c r="N70" i="2"/>
  <c r="N71" i="2" s="1"/>
  <c r="T71" i="2" s="1"/>
  <c r="Z71" i="2" s="1"/>
  <c r="Y80" i="2"/>
  <c r="AA78" i="2" s="1"/>
  <c r="Y102" i="2"/>
  <c r="AC98" i="2" s="1"/>
  <c r="Y101" i="2"/>
  <c r="AB98" i="2" s="1"/>
  <c r="Y73" i="2"/>
  <c r="AC69" i="2" s="1"/>
  <c r="Y70" i="2"/>
  <c r="Y92" i="2"/>
  <c r="AB89" i="2" s="1"/>
  <c r="Y82" i="2"/>
  <c r="AC78" i="2" s="1"/>
  <c r="Y72" i="2"/>
  <c r="AB69" i="2" s="1"/>
  <c r="Y91" i="2"/>
  <c r="AA89" i="2" s="1"/>
  <c r="Y81" i="2"/>
  <c r="AB78" i="2" s="1"/>
  <c r="Y71" i="2"/>
  <c r="AA69" i="2" s="1"/>
  <c r="Y100" i="2"/>
  <c r="AA98" i="2" s="1"/>
  <c r="S99" i="2"/>
  <c r="N99" i="2"/>
  <c r="N101" i="2" s="1"/>
  <c r="T101" i="2" s="1"/>
  <c r="Z101" i="2" s="1"/>
  <c r="S93" i="2"/>
  <c r="S90" i="2"/>
  <c r="N90" i="2"/>
  <c r="N92" i="2" s="1"/>
  <c r="T92" i="2" s="1"/>
  <c r="Z92" i="2" s="1"/>
  <c r="M114" i="2"/>
  <c r="S114" i="2" s="1"/>
  <c r="Y114" i="2" s="1"/>
  <c r="AB111" i="2" s="1"/>
  <c r="J111" i="2"/>
  <c r="S79" i="2"/>
  <c r="N79" i="2"/>
  <c r="M115" i="2"/>
  <c r="S115" i="2" s="1"/>
  <c r="Y115" i="2" s="1"/>
  <c r="AC111" i="2" s="1"/>
  <c r="K111" i="2"/>
  <c r="M113" i="2"/>
  <c r="S113" i="2" s="1"/>
  <c r="Y113" i="2" s="1"/>
  <c r="AA111" i="2" s="1"/>
  <c r="I111" i="2"/>
  <c r="Z69" i="2" l="1"/>
  <c r="N72" i="2"/>
  <c r="T72" i="2" s="1"/>
  <c r="Z72" i="2" s="1"/>
  <c r="O71" i="2"/>
  <c r="N73" i="2"/>
  <c r="T73" i="2" s="1"/>
  <c r="Z73" i="2" s="1"/>
  <c r="N102" i="2"/>
  <c r="T102" i="2" s="1"/>
  <c r="Z102" i="2" s="1"/>
  <c r="AC99" i="2" s="1"/>
  <c r="N100" i="2"/>
  <c r="Y79" i="2"/>
  <c r="Y93" i="2"/>
  <c r="AC89" i="2" s="1"/>
  <c r="Y90" i="2"/>
  <c r="Y99" i="2"/>
  <c r="AB90" i="2"/>
  <c r="H52" i="2"/>
  <c r="N93" i="2"/>
  <c r="T100" i="2"/>
  <c r="Z100" i="2" s="1"/>
  <c r="O100" i="2"/>
  <c r="AB99" i="2"/>
  <c r="H60" i="2"/>
  <c r="N91" i="2"/>
  <c r="O73" i="2"/>
  <c r="N113" i="2"/>
  <c r="T113" i="2" s="1"/>
  <c r="Z113" i="2" s="1"/>
  <c r="N115" i="2"/>
  <c r="T115" i="2" s="1"/>
  <c r="Z115" i="2" s="1"/>
  <c r="AC112" i="2" s="1"/>
  <c r="N114" i="2"/>
  <c r="T114" i="2" s="1"/>
  <c r="Z114" i="2" s="1"/>
  <c r="AB112" i="2" s="1"/>
  <c r="AA70" i="2"/>
  <c r="H32" i="2"/>
  <c r="N80" i="2"/>
  <c r="O80" i="2" s="1"/>
  <c r="N82" i="2"/>
  <c r="N81" i="2"/>
  <c r="T81" i="2" s="1"/>
  <c r="Z81" i="2" s="1"/>
  <c r="O72" i="2" l="1"/>
  <c r="H61" i="2"/>
  <c r="Z89" i="2"/>
  <c r="Z98" i="2"/>
  <c r="Z78" i="2"/>
  <c r="O91" i="2"/>
  <c r="O92" i="2" s="1"/>
  <c r="T91" i="2"/>
  <c r="Z91" i="2" s="1"/>
  <c r="O102" i="2"/>
  <c r="O101" i="2"/>
  <c r="AA99" i="2"/>
  <c r="H59" i="2"/>
  <c r="T93" i="2"/>
  <c r="Z93" i="2" s="1"/>
  <c r="H41" i="2"/>
  <c r="N41" i="2" s="1"/>
  <c r="T41" i="2" s="1"/>
  <c r="N52" i="2"/>
  <c r="T52" i="2" s="1"/>
  <c r="J50" i="2"/>
  <c r="O113" i="2"/>
  <c r="O115" i="2" s="1"/>
  <c r="U115" i="2" s="1"/>
  <c r="AA115" i="2" s="1"/>
  <c r="AC113" i="2" s="1"/>
  <c r="AB70" i="2"/>
  <c r="H33" i="2"/>
  <c r="J31" i="2" s="1"/>
  <c r="P72" i="2"/>
  <c r="P73" i="2" s="1"/>
  <c r="U72" i="2"/>
  <c r="AA72" i="2" s="1"/>
  <c r="AC70" i="2"/>
  <c r="H34" i="2"/>
  <c r="N34" i="2" s="1"/>
  <c r="T34" i="2" s="1"/>
  <c r="U73" i="2"/>
  <c r="AA73" i="2" s="1"/>
  <c r="AB79" i="2"/>
  <c r="T82" i="2"/>
  <c r="Z82" i="2" s="1"/>
  <c r="T80" i="2"/>
  <c r="Z80" i="2" s="1"/>
  <c r="O82" i="2"/>
  <c r="AA112" i="2"/>
  <c r="O114" i="2" l="1"/>
  <c r="U114" i="2" s="1"/>
  <c r="AA114" i="2" s="1"/>
  <c r="O93" i="2"/>
  <c r="U92" i="2"/>
  <c r="AA92" i="2" s="1"/>
  <c r="P92" i="2"/>
  <c r="P101" i="2"/>
  <c r="P102" i="2" s="1"/>
  <c r="Q102" i="2" s="1"/>
  <c r="U101" i="2"/>
  <c r="AA101" i="2" s="1"/>
  <c r="U102" i="2"/>
  <c r="AA102" i="2" s="1"/>
  <c r="U93" i="2"/>
  <c r="AA93" i="2" s="1"/>
  <c r="H53" i="2"/>
  <c r="AC90" i="2"/>
  <c r="AA90" i="2"/>
  <c r="H51" i="2"/>
  <c r="N33" i="2"/>
  <c r="T33" i="2" s="1"/>
  <c r="N60" i="2"/>
  <c r="T60" i="2" s="1"/>
  <c r="J58" i="2"/>
  <c r="H42" i="2"/>
  <c r="H40" i="2"/>
  <c r="N40" i="2" s="1"/>
  <c r="K31" i="2"/>
  <c r="U82" i="2"/>
  <c r="AA82" i="2" s="1"/>
  <c r="O81" i="2"/>
  <c r="P81" i="2" s="1"/>
  <c r="P82" i="2" s="1"/>
  <c r="AC71" i="2"/>
  <c r="I34" i="2"/>
  <c r="K32" i="2" s="1"/>
  <c r="J39" i="2"/>
  <c r="AB71" i="2"/>
  <c r="I33" i="2"/>
  <c r="V73" i="2"/>
  <c r="AB73" i="2" s="1"/>
  <c r="Y68" i="2" s="1"/>
  <c r="Q73" i="2"/>
  <c r="G68" i="2" s="1"/>
  <c r="AA79" i="2"/>
  <c r="AC79" i="2"/>
  <c r="N32" i="2"/>
  <c r="I31" i="2"/>
  <c r="G97" i="2" l="1"/>
  <c r="V82" i="2"/>
  <c r="AB82" i="2" s="1"/>
  <c r="AC81" i="2" s="1"/>
  <c r="P114" i="2"/>
  <c r="P115" i="2" s="1"/>
  <c r="Q115" i="2" s="1"/>
  <c r="G110" i="2" s="1"/>
  <c r="P93" i="2"/>
  <c r="V93" i="2" s="1"/>
  <c r="AB93" i="2" s="1"/>
  <c r="Y88" i="2" s="1"/>
  <c r="N51" i="2"/>
  <c r="I50" i="2"/>
  <c r="N53" i="2"/>
  <c r="T53" i="2" s="1"/>
  <c r="K50" i="2"/>
  <c r="I60" i="2"/>
  <c r="AB100" i="2"/>
  <c r="AC91" i="2"/>
  <c r="I53" i="2"/>
  <c r="AC100" i="2"/>
  <c r="I61" i="2"/>
  <c r="V102" i="2"/>
  <c r="AB91" i="2"/>
  <c r="I52" i="2"/>
  <c r="U81" i="2"/>
  <c r="J42" i="2"/>
  <c r="I42" i="2"/>
  <c r="K40" i="2" s="1"/>
  <c r="I39" i="2"/>
  <c r="N59" i="2"/>
  <c r="I58" i="2"/>
  <c r="K58" i="2"/>
  <c r="N61" i="2"/>
  <c r="T61" i="2" s="1"/>
  <c r="AC80" i="2"/>
  <c r="O34" i="2"/>
  <c r="U34" i="2" s="1"/>
  <c r="AC72" i="2"/>
  <c r="J34" i="2"/>
  <c r="K39" i="2"/>
  <c r="N42" i="2"/>
  <c r="T42" i="2" s="1"/>
  <c r="Q82" i="2"/>
  <c r="G77" i="2" s="1"/>
  <c r="T40" i="2"/>
  <c r="U40" i="2"/>
  <c r="AB113" i="2"/>
  <c r="U32" i="2"/>
  <c r="T32" i="2"/>
  <c r="AB102" i="2" l="1"/>
  <c r="Y97" i="2" s="1"/>
  <c r="V115" i="2"/>
  <c r="AB115" i="2" s="1"/>
  <c r="Q93" i="2"/>
  <c r="G88" i="2" s="1"/>
  <c r="AA81" i="2"/>
  <c r="Y77" i="2" s="1"/>
  <c r="AF90" i="2"/>
  <c r="AF99" i="2"/>
  <c r="J51" i="2"/>
  <c r="O52" i="2"/>
  <c r="T51" i="2"/>
  <c r="U51" i="2"/>
  <c r="AC101" i="2"/>
  <c r="O53" i="2"/>
  <c r="U53" i="2" s="1"/>
  <c r="K51" i="2"/>
  <c r="AC92" i="2"/>
  <c r="J53" i="2"/>
  <c r="O42" i="2"/>
  <c r="U42" i="2" s="1"/>
  <c r="T59" i="2"/>
  <c r="U59" i="2"/>
  <c r="O60" i="2"/>
  <c r="J59" i="2"/>
  <c r="K59" i="2"/>
  <c r="O61" i="2"/>
  <c r="U61" i="2" s="1"/>
  <c r="AF70" i="2"/>
  <c r="AA38" i="2"/>
  <c r="AA40" i="2"/>
  <c r="Z40" i="2"/>
  <c r="Y40" i="2"/>
  <c r="AA39" i="2"/>
  <c r="AF112" i="2"/>
  <c r="AC114" i="2"/>
  <c r="Z32" i="2"/>
  <c r="AA32" i="2"/>
  <c r="AA31" i="2"/>
  <c r="AA30" i="2"/>
  <c r="Y32" i="2"/>
  <c r="J32" i="2"/>
  <c r="O33" i="2"/>
  <c r="J61" i="2" l="1"/>
  <c r="P61" i="2" s="1"/>
  <c r="W61" i="2" s="1"/>
  <c r="AF79" i="2"/>
  <c r="I41" i="2"/>
  <c r="O41" i="2" s="1"/>
  <c r="V41" i="2" s="1"/>
  <c r="AB80" i="2"/>
  <c r="AA59" i="2"/>
  <c r="Z59" i="2"/>
  <c r="Y59" i="2"/>
  <c r="AA58" i="2"/>
  <c r="AA57" i="2"/>
  <c r="K60" i="2"/>
  <c r="Y51" i="2"/>
  <c r="Z51" i="2"/>
  <c r="AA50" i="2"/>
  <c r="AA51" i="2"/>
  <c r="AA49" i="2"/>
  <c r="P53" i="2"/>
  <c r="K52" i="2"/>
  <c r="U52" i="2"/>
  <c r="V52" i="2"/>
  <c r="V60" i="2"/>
  <c r="U60" i="2"/>
  <c r="P42" i="2"/>
  <c r="K41" i="2"/>
  <c r="U33" i="2"/>
  <c r="V33" i="2"/>
  <c r="K33" i="2"/>
  <c r="P34" i="2"/>
  <c r="V61" i="2" l="1"/>
  <c r="Y56" i="2" s="1"/>
  <c r="G56" i="2" s="1"/>
  <c r="J40" i="2"/>
  <c r="U41" i="2"/>
  <c r="Z61" i="2"/>
  <c r="Y61" i="2"/>
  <c r="AB61" i="2"/>
  <c r="AA61" i="2"/>
  <c r="AC57" i="2"/>
  <c r="AC60" i="2"/>
  <c r="AB57" i="2"/>
  <c r="Z60" i="2"/>
  <c r="AB58" i="2"/>
  <c r="AB60" i="2"/>
  <c r="AA60" i="2"/>
  <c r="Y60" i="2"/>
  <c r="AC59" i="2"/>
  <c r="AB59" i="2"/>
  <c r="AB52" i="2"/>
  <c r="AB50" i="2"/>
  <c r="Y52" i="2"/>
  <c r="AB49" i="2"/>
  <c r="AA52" i="2"/>
  <c r="Z52" i="2"/>
  <c r="AB51" i="2"/>
  <c r="V53" i="2"/>
  <c r="W53" i="2"/>
  <c r="Y41" i="2"/>
  <c r="AB41" i="2"/>
  <c r="AB38" i="2"/>
  <c r="AB39" i="2"/>
  <c r="Z41" i="2"/>
  <c r="AA41" i="2"/>
  <c r="AB40" i="2"/>
  <c r="V42" i="2"/>
  <c r="W42" i="2"/>
  <c r="Y33" i="2"/>
  <c r="AB30" i="2"/>
  <c r="AA33" i="2"/>
  <c r="AB33" i="2"/>
  <c r="Z33" i="2"/>
  <c r="AB31" i="2"/>
  <c r="AB32" i="2"/>
  <c r="V34" i="2"/>
  <c r="W34" i="2"/>
  <c r="AC58" i="2" l="1"/>
  <c r="AC61" i="2"/>
  <c r="AF58" i="2"/>
  <c r="Y29" i="2"/>
  <c r="G29" i="2" s="1"/>
  <c r="Y48" i="2"/>
  <c r="G48" i="2" s="1"/>
  <c r="Y37" i="2"/>
  <c r="G37" i="2" s="1"/>
  <c r="AC53" i="2"/>
  <c r="AC51" i="2"/>
  <c r="AC49" i="2"/>
  <c r="AC50" i="2"/>
  <c r="Y53" i="2"/>
  <c r="AB53" i="2"/>
  <c r="Z53" i="2"/>
  <c r="AA53" i="2"/>
  <c r="AC52" i="2"/>
  <c r="AC41" i="2"/>
  <c r="AA42" i="2"/>
  <c r="AC42" i="2"/>
  <c r="Z42" i="2"/>
  <c r="AB42" i="2"/>
  <c r="AC38" i="2"/>
  <c r="AC39" i="2"/>
  <c r="Y42" i="2"/>
  <c r="AC40" i="2"/>
  <c r="AB34" i="2"/>
  <c r="AC30" i="2"/>
  <c r="AA34" i="2"/>
  <c r="Z34" i="2"/>
  <c r="AC31" i="2"/>
  <c r="AC34" i="2"/>
  <c r="Y34" i="2"/>
  <c r="AC32" i="2"/>
  <c r="AC33" i="2"/>
  <c r="AF39" i="2" l="1"/>
  <c r="AF50" i="2"/>
  <c r="AF31" i="2"/>
  <c r="S122" i="2"/>
  <c r="S123" i="2"/>
  <c r="S124" i="2"/>
  <c r="T124" i="2"/>
  <c r="U123" i="2"/>
  <c r="T123" i="2"/>
  <c r="U124" i="2"/>
  <c r="V124" i="2"/>
  <c r="T122" i="2"/>
  <c r="Y122" i="2" s="1"/>
  <c r="S125" i="2"/>
  <c r="T125" i="2"/>
  <c r="U125" i="2"/>
  <c r="V125" i="2"/>
  <c r="W125" i="2"/>
  <c r="Y120" i="2" l="1"/>
  <c r="AB121" i="2"/>
  <c r="AB125" i="2"/>
  <c r="Y123" i="2"/>
  <c r="Z121" i="2"/>
  <c r="AA125" i="2"/>
  <c r="AA124" i="2"/>
  <c r="AA123" i="2"/>
  <c r="Z125" i="2"/>
  <c r="Z122" i="2"/>
  <c r="AC124" i="2"/>
  <c r="AB123" i="2"/>
  <c r="AA122" i="2"/>
  <c r="Z124" i="2"/>
  <c r="Y125" i="2"/>
  <c r="AA121" i="2"/>
  <c r="AB122" i="2"/>
  <c r="AB124" i="2"/>
  <c r="AC125" i="2"/>
  <c r="AC123" i="2"/>
  <c r="Z123" i="2"/>
  <c r="Y124" i="2"/>
  <c r="AC121" i="2"/>
  <c r="AC122" i="2"/>
</calcChain>
</file>

<file path=xl/sharedStrings.xml><?xml version="1.0" encoding="utf-8"?>
<sst xmlns="http://schemas.openxmlformats.org/spreadsheetml/2006/main" count="136" uniqueCount="61">
  <si>
    <t>Cholesky factorization</t>
  </si>
  <si>
    <t>(user-specified input)</t>
  </si>
  <si>
    <t>k=</t>
  </si>
  <si>
    <t>Spherical Angles</t>
  </si>
  <si>
    <t>N sample size =</t>
  </si>
  <si>
    <t>for CDF values near 0 or 1</t>
  </si>
  <si>
    <t>α</t>
  </si>
  <si>
    <t>estimated/observed Correlation Matrix</t>
  </si>
  <si>
    <t>corresponding ('quantile') Correlation Matrix</t>
  </si>
  <si>
    <t>UPPER (1-α/2)% Confidence Interval Correlation Matrix</t>
  </si>
  <si>
    <t>LOWER (α/2)% Confidence Interval Correlation Matrix</t>
  </si>
  <si>
    <t>LNP = ln( product of all 2-sided p-values )</t>
  </si>
  <si>
    <t>numeric tolerance</t>
  </si>
  <si>
    <t>generalized entropy = LNP =</t>
  </si>
  <si>
    <t>(rec. value=1.00E-307)</t>
  </si>
  <si>
    <t xml:space="preserve">Null Hypothesis = </t>
  </si>
  <si>
    <t>Gaussian identity matrix</t>
  </si>
  <si>
    <r>
      <t xml:space="preserve">(low/high CDF values </t>
    </r>
    <r>
      <rPr>
        <b/>
        <sz val="11"/>
        <color theme="1"/>
        <rFont val="Aptos Narrow"/>
        <family val="2"/>
      </rPr>
      <t>→</t>
    </r>
    <r>
      <rPr>
        <b/>
        <sz val="11"/>
        <color theme="1"/>
        <rFont val="Calibri"/>
        <family val="2"/>
        <scheme val="minor"/>
      </rPr>
      <t xml:space="preserve"> high/low Corr values)</t>
    </r>
  </si>
  <si>
    <r>
      <t xml:space="preserve">(low/high Corr values </t>
    </r>
    <r>
      <rPr>
        <b/>
        <sz val="11"/>
        <color theme="1"/>
        <rFont val="Aptos Narrow"/>
        <family val="2"/>
      </rPr>
      <t>→</t>
    </r>
    <r>
      <rPr>
        <b/>
        <sz val="11"/>
        <color theme="1"/>
        <rFont val="Calibri"/>
        <family val="2"/>
        <scheme val="minor"/>
      </rPr>
      <t xml:space="preserve"> high/low CDF values)</t>
    </r>
  </si>
  <si>
    <t>CDF matrix (angles space)</t>
  </si>
  <si>
    <t>corresponding CDF matrix (angles space)</t>
  </si>
  <si>
    <t>α/2</t>
  </si>
  <si>
    <t>CI: 1-α/2</t>
  </si>
  <si>
    <t>CI: α/2</t>
  </si>
  <si>
    <t>matrix (1-sided)</t>
  </si>
  <si>
    <t>p-value =</t>
  </si>
  <si>
    <t>(Lower) CDF matrix (α/2)%, angles space</t>
  </si>
  <si>
    <t>(Upper) CDF matrix (1-α/2)%, angles space</t>
  </si>
  <si>
    <t>Correlation Matrix: corresponds to (Upper) CDF matrix (1-α/2)%, angles space</t>
  </si>
  <si>
    <t>corresponding LOWER (α/2)% CDF matrix (angles space)</t>
  </si>
  <si>
    <t>corresponding UPPER (1-α/2)% CDF matrix (angles space)</t>
  </si>
  <si>
    <r>
      <t>Input Sample Size and Level (</t>
    </r>
    <r>
      <rPr>
        <b/>
        <sz val="12"/>
        <color theme="1"/>
        <rFont val="Aptos Narrow"/>
        <family val="2"/>
      </rPr>
      <t>α</t>
    </r>
    <r>
      <rPr>
        <b/>
        <sz val="12"/>
        <color theme="1"/>
        <rFont val="Calibri"/>
        <family val="2"/>
        <scheme val="minor"/>
      </rPr>
      <t>) to obtain corresponding confidence intervals.</t>
    </r>
  </si>
  <si>
    <t>Interactive Results</t>
  </si>
  <si>
    <t>(n=252)</t>
  </si>
  <si>
    <t>1-α/2</t>
  </si>
  <si>
    <t>Lower</t>
  </si>
  <si>
    <t>Upper</t>
  </si>
  <si>
    <t>Simultaneous</t>
  </si>
  <si>
    <t>Equicorrelation</t>
  </si>
  <si>
    <t>Matrices</t>
  </si>
  <si>
    <t>Both Individual Cell Confidence Intervals, and Matrix-Level (Simultaneous) Confidence Intervals</t>
  </si>
  <si>
    <t>© JD Opdyke</t>
  </si>
  <si>
    <t>Pearson's Correlation Under the (Gaussian*) Identity Matrix: Fully Analytic Finite-Sample Confidence Intervals</t>
  </si>
  <si>
    <t>OUTPUTS in Orange cells.</t>
  </si>
  <si>
    <t>Confidence Intervals</t>
  </si>
  <si>
    <t>All Individual Cell</t>
  </si>
  <si>
    <t>(Matrix-Level)</t>
  </si>
  <si>
    <t>Confidence Interval</t>
  </si>
  <si>
    <t>The null hypothesis is the Gaussian* identity matrix.</t>
  </si>
  <si>
    <t>This is a fully analytic solution, requiring no sampling ('rejection' methods or otherwise), although it can be used to generate samples 30% faster</t>
  </si>
  <si>
    <t>than the fastest algorithm in the extant literature (see Rubsamen, 2023, for a benchmark analysis).</t>
  </si>
  <si>
    <t>++++++++++++++++++++++++++++++++++++++++++++++++++++++++++++++++++++++++++++++++++++++++++++++++++++++++++++++++++++++++++++++++++++++++++++++++++++++++++++++++++++++++++++++++++++++++++++++++++++++</t>
  </si>
  <si>
    <t>CONVERSION OF CORRELATION MATRIX TO (ANGLES SPACE) CDFs AND VICE VERSA</t>
  </si>
  <si>
    <t>Select Summarized Results</t>
  </si>
  <si>
    <t>INDIVIDUAL (cell) CONFIDENCE INTERVALS (lower CDF values are associated with higher Correlation values, and vice versa)</t>
  </si>
  <si>
    <t>SIMULTANEOUS (matrix) CONFIDENCE INTERVALS (lower CDF values are associated with higher Correlation values, and vice versa)</t>
  </si>
  <si>
    <t>CDF calculations for INDIVIDUAL (cell) CIs above:</t>
  </si>
  <si>
    <t>CDF calculations for SIMULTANEOUS (matrix) CIs above:</t>
  </si>
  <si>
    <t>INPUTS: VALID user inputs  in Green cells for interactive results.</t>
  </si>
  <si>
    <t>*(valid under additional distributions as well, e.g. Uniform)</t>
  </si>
  <si>
    <r>
      <t xml:space="preserve">Note lower limit of -0.25, i.e. [-1/(p-1)] </t>
    </r>
    <r>
      <rPr>
        <b/>
        <sz val="11"/>
        <color rgb="FFFF0000"/>
        <rFont val="Aptos Narrow"/>
        <family val="2"/>
      </rPr>
      <t xml:space="preserve">≤ </t>
    </r>
    <r>
      <rPr>
        <b/>
        <sz val="11"/>
        <color rgb="FFFF0000"/>
        <rFont val="Calibri"/>
        <family val="2"/>
        <scheme val="minor"/>
      </rPr>
      <t>r ≤ 1.0, p=dim(R, correlation matrix)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</si>
</sst>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"/>
    <numFmt numFmtId="165" formatCode="0.0000"/>
    <numFmt numFmtId="166" formatCode="0.00000"/>
    <numFmt numFmtId="167" formatCode="0.000000"/>
    <numFmt numFmtId="168" formatCode="0.00000000000"/>
    <numFmt numFmtId="169" formatCode="0.0000000"/>
    <numFmt numFmtId="170" formatCode="0.000000000"/>
    <numFmt numFmtId="171" formatCode="#,##0.00000"/>
    <numFmt numFmtId="172" formatCode="#,##0.000000000"/>
    <numFmt numFmtId="173" formatCode="0.00000000000000000"/>
    <numFmt numFmtId="174" formatCode="_(* #,##0.00000000000_);_(* \(#,##0.0000000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ptos Narrow"/>
      <family val="2"/>
    </font>
    <font>
      <sz val="11"/>
      <name val="Calibri"/>
      <family val="2"/>
      <scheme val="minor"/>
    </font>
    <font>
      <b/>
      <sz val="11"/>
      <color rgb="FFFF0000"/>
      <name val="Aptos Narrow"/>
      <family val="2"/>
    </font>
    <font>
      <b/>
      <sz val="12"/>
      <color theme="1"/>
      <name val="Aptos Narrow"/>
      <family val="2"/>
    </font>
    <font>
      <b/>
      <sz val="12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quotePrefix="1" applyFont="1"/>
    <xf numFmtId="166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2" xfId="0" applyFont="1" applyBorder="1"/>
    <xf numFmtId="0" fontId="0" fillId="0" borderId="12" xfId="0" applyBorder="1"/>
    <xf numFmtId="165" fontId="2" fillId="0" borderId="0" xfId="0" applyNumberFormat="1" applyFont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165" fontId="0" fillId="0" borderId="0" xfId="0" applyNumberFormat="1"/>
    <xf numFmtId="0" fontId="6" fillId="0" borderId="0" xfId="0" applyFont="1"/>
    <xf numFmtId="0" fontId="2" fillId="0" borderId="0" xfId="0" quotePrefix="1" applyFont="1"/>
    <xf numFmtId="0" fontId="6" fillId="0" borderId="0" xfId="0" quotePrefix="1" applyFont="1"/>
    <xf numFmtId="0" fontId="4" fillId="0" borderId="0" xfId="0" quotePrefix="1" applyFont="1"/>
    <xf numFmtId="165" fontId="0" fillId="2" borderId="0" xfId="0" quotePrefix="1" applyNumberFormat="1" applyFill="1" applyAlignment="1">
      <alignment horizontal="center"/>
    </xf>
    <xf numFmtId="165" fontId="2" fillId="0" borderId="0" xfId="0" applyNumberFormat="1" applyFont="1"/>
    <xf numFmtId="0" fontId="7" fillId="0" borderId="0" xfId="0" applyFont="1"/>
    <xf numFmtId="0" fontId="8" fillId="0" borderId="0" xfId="0" quotePrefix="1" applyFont="1"/>
    <xf numFmtId="0" fontId="8" fillId="0" borderId="0" xfId="0" applyFont="1"/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167" fontId="0" fillId="0" borderId="0" xfId="1" applyNumberFormat="1" applyFont="1"/>
    <xf numFmtId="167" fontId="0" fillId="0" borderId="0" xfId="1" applyNumberFormat="1" applyFont="1" applyFill="1"/>
    <xf numFmtId="165" fontId="0" fillId="0" borderId="0" xfId="0" quotePrefix="1" applyNumberFormat="1" applyAlignment="1">
      <alignment horizontal="center"/>
    </xf>
    <xf numFmtId="167" fontId="0" fillId="0" borderId="0" xfId="0" quotePrefix="1" applyNumberFormat="1" applyAlignment="1">
      <alignment horizontal="center"/>
    </xf>
    <xf numFmtId="164" fontId="5" fillId="0" borderId="0" xfId="0" quotePrefix="1" applyNumberFormat="1" applyFont="1" applyAlignment="1">
      <alignment horizontal="center"/>
    </xf>
    <xf numFmtId="167" fontId="2" fillId="0" borderId="0" xfId="1" quotePrefix="1" applyNumberFormat="1" applyFont="1"/>
    <xf numFmtId="2" fontId="2" fillId="0" borderId="0" xfId="0" applyNumberFormat="1" applyFont="1"/>
    <xf numFmtId="0" fontId="10" fillId="0" borderId="0" xfId="0" applyFont="1"/>
    <xf numFmtId="2" fontId="11" fillId="4" borderId="15" xfId="0" applyNumberFormat="1" applyFont="1" applyFill="1" applyBorder="1" applyAlignment="1">
      <alignment horizontal="center"/>
    </xf>
    <xf numFmtId="2" fontId="11" fillId="4" borderId="15" xfId="0" quotePrefix="1" applyNumberFormat="1" applyFont="1" applyFill="1" applyBorder="1" applyAlignment="1">
      <alignment horizontal="center"/>
    </xf>
    <xf numFmtId="11" fontId="2" fillId="3" borderId="0" xfId="0" applyNumberFormat="1" applyFont="1" applyFill="1" applyAlignment="1" applyProtection="1">
      <alignment horizontal="center"/>
      <protection locked="0"/>
    </xf>
    <xf numFmtId="0" fontId="0" fillId="0" borderId="4" xfId="0" applyBorder="1"/>
    <xf numFmtId="167" fontId="0" fillId="0" borderId="0" xfId="1" applyNumberFormat="1" applyFont="1" applyFill="1" applyBorder="1"/>
    <xf numFmtId="168" fontId="0" fillId="0" borderId="0" xfId="1" applyNumberFormat="1" applyFont="1" applyProtection="1"/>
    <xf numFmtId="168" fontId="0" fillId="0" borderId="0" xfId="1" applyNumberFormat="1" applyFont="1" applyBorder="1" applyProtection="1"/>
    <xf numFmtId="170" fontId="0" fillId="0" borderId="0" xfId="1" applyNumberFormat="1" applyFont="1" applyBorder="1" applyProtection="1"/>
    <xf numFmtId="166" fontId="0" fillId="0" borderId="0" xfId="1" quotePrefix="1" applyNumberFormat="1" applyFont="1" applyBorder="1" applyProtection="1"/>
    <xf numFmtId="166" fontId="0" fillId="0" borderId="0" xfId="1" applyNumberFormat="1" applyFont="1" applyBorder="1" applyAlignment="1" applyProtection="1">
      <alignment horizontal="center"/>
    </xf>
    <xf numFmtId="171" fontId="0" fillId="0" borderId="0" xfId="1" applyNumberFormat="1" applyFont="1" applyBorder="1" applyAlignment="1" applyProtection="1">
      <alignment horizontal="center"/>
    </xf>
    <xf numFmtId="172" fontId="0" fillId="0" borderId="0" xfId="1" applyNumberFormat="1" applyFont="1" applyBorder="1" applyProtection="1"/>
    <xf numFmtId="168" fontId="0" fillId="0" borderId="0" xfId="1" quotePrefix="1" applyNumberFormat="1" applyFont="1" applyBorder="1" applyProtection="1"/>
    <xf numFmtId="172" fontId="0" fillId="0" borderId="0" xfId="1" quotePrefix="1" applyNumberFormat="1" applyFont="1" applyBorder="1" applyProtection="1"/>
    <xf numFmtId="11" fontId="0" fillId="0" borderId="0" xfId="1" quotePrefix="1" applyNumberFormat="1" applyFont="1" applyBorder="1" applyProtection="1"/>
    <xf numFmtId="11" fontId="0" fillId="0" borderId="0" xfId="1" quotePrefix="1" applyNumberFormat="1" applyFont="1" applyProtection="1"/>
    <xf numFmtId="169" fontId="2" fillId="0" borderId="0" xfId="0" applyNumberFormat="1" applyFont="1" applyAlignment="1">
      <alignment horizontal="center"/>
    </xf>
    <xf numFmtId="167" fontId="0" fillId="0" borderId="0" xfId="1" applyNumberFormat="1" applyFont="1" applyFill="1" applyBorder="1" applyProtection="1"/>
    <xf numFmtId="165" fontId="11" fillId="0" borderId="0" xfId="0" quotePrefix="1" applyNumberFormat="1" applyFont="1" applyAlignment="1">
      <alignment horizontal="center"/>
    </xf>
    <xf numFmtId="167" fontId="0" fillId="0" borderId="0" xfId="1" applyNumberFormat="1" applyFont="1" applyProtection="1"/>
    <xf numFmtId="2" fontId="0" fillId="0" borderId="0" xfId="1" applyNumberFormat="1" applyFont="1" applyFill="1" applyProtection="1"/>
    <xf numFmtId="167" fontId="2" fillId="0" borderId="0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10" xfId="0" applyNumberFormat="1" applyBorder="1"/>
    <xf numFmtId="165" fontId="0" fillId="0" borderId="12" xfId="0" applyNumberFormat="1" applyBorder="1"/>
    <xf numFmtId="167" fontId="2" fillId="3" borderId="15" xfId="0" quotePrefix="1" applyNumberFormat="1" applyFont="1" applyFill="1" applyBorder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68" fontId="0" fillId="0" borderId="0" xfId="0" applyNumberFormat="1"/>
    <xf numFmtId="165" fontId="2" fillId="0" borderId="0" xfId="0" applyNumberFormat="1" applyFont="1" applyAlignment="1">
      <alignment horizontal="left"/>
    </xf>
    <xf numFmtId="174" fontId="2" fillId="0" borderId="0" xfId="1" applyNumberFormat="1" applyFont="1" applyFill="1"/>
    <xf numFmtId="168" fontId="0" fillId="0" borderId="10" xfId="0" quotePrefix="1" applyNumberFormat="1" applyBorder="1" applyAlignment="1">
      <alignment horizontal="center"/>
    </xf>
    <xf numFmtId="168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16" xfId="0" quotePrefix="1" applyFont="1" applyBorder="1" applyAlignment="1">
      <alignment horizontal="center"/>
    </xf>
    <xf numFmtId="165" fontId="4" fillId="0" borderId="12" xfId="0" applyNumberFormat="1" applyFont="1" applyBorder="1"/>
    <xf numFmtId="165" fontId="4" fillId="0" borderId="10" xfId="0" applyNumberFormat="1" applyFont="1" applyBorder="1"/>
    <xf numFmtId="165" fontId="0" fillId="0" borderId="10" xfId="0" quotePrefix="1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2" fillId="0" borderId="0" xfId="0" quotePrefix="1" applyNumberFormat="1" applyFont="1"/>
    <xf numFmtId="165" fontId="2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right"/>
    </xf>
    <xf numFmtId="173" fontId="0" fillId="0" borderId="0" xfId="1" applyNumberFormat="1" applyFont="1"/>
    <xf numFmtId="0" fontId="13" fillId="0" borderId="0" xfId="0" applyFont="1"/>
    <xf numFmtId="1" fontId="2" fillId="0" borderId="0" xfId="0" applyNumberFormat="1" applyFont="1" applyAlignment="1">
      <alignment horizontal="center"/>
    </xf>
    <xf numFmtId="165" fontId="0" fillId="2" borderId="0" xfId="0" applyNumberFormat="1" applyFill="1" applyAlignment="1" applyProtection="1">
      <alignment horizontal="center"/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68" fontId="0" fillId="0" borderId="10" xfId="1" applyNumberFormat="1" applyFont="1" applyBorder="1" applyProtection="1"/>
    <xf numFmtId="0" fontId="2" fillId="0" borderId="17" xfId="0" quotePrefix="1" applyFont="1" applyBorder="1" applyAlignment="1">
      <alignment horizontal="center"/>
    </xf>
    <xf numFmtId="0" fontId="16" fillId="0" borderId="0" xfId="0" applyFont="1"/>
    <xf numFmtId="2" fontId="0" fillId="4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5" fontId="0" fillId="4" borderId="2" xfId="1" applyNumberFormat="1" applyFont="1" applyFill="1" applyBorder="1" applyAlignment="1">
      <alignment horizontal="center"/>
    </xf>
    <xf numFmtId="165" fontId="0" fillId="4" borderId="3" xfId="1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65" fontId="0" fillId="4" borderId="0" xfId="1" applyNumberFormat="1" applyFont="1" applyFill="1" applyBorder="1" applyAlignment="1">
      <alignment horizontal="center"/>
    </xf>
    <xf numFmtId="165" fontId="0" fillId="4" borderId="5" xfId="1" applyNumberFormat="1" applyFont="1" applyFill="1" applyBorder="1" applyAlignment="1">
      <alignment horizontal="center"/>
    </xf>
    <xf numFmtId="0" fontId="9" fillId="4" borderId="0" xfId="0" quotePrefix="1" applyFont="1" applyFill="1" applyAlignment="1">
      <alignment horizontal="right"/>
    </xf>
    <xf numFmtId="0" fontId="8" fillId="4" borderId="0" xfId="0" applyFont="1" applyFill="1"/>
    <xf numFmtId="0" fontId="7" fillId="4" borderId="0" xfId="0" applyFont="1" applyFill="1"/>
    <xf numFmtId="0" fontId="0" fillId="4" borderId="0" xfId="0" applyFill="1"/>
    <xf numFmtId="0" fontId="0" fillId="4" borderId="0" xfId="0" quotePrefix="1" applyFill="1" applyAlignment="1">
      <alignment horizontal="right"/>
    </xf>
    <xf numFmtId="164" fontId="0" fillId="4" borderId="0" xfId="0" applyNumberFormat="1" applyFill="1" applyAlignment="1">
      <alignment horizontal="center"/>
    </xf>
    <xf numFmtId="0" fontId="9" fillId="4" borderId="18" xfId="0" quotePrefix="1" applyFont="1" applyFill="1" applyBorder="1"/>
    <xf numFmtId="0" fontId="9" fillId="4" borderId="10" xfId="0" quotePrefix="1" applyFont="1" applyFill="1" applyBorder="1" applyAlignment="1">
      <alignment horizontal="right"/>
    </xf>
    <xf numFmtId="0" fontId="8" fillId="4" borderId="10" xfId="0" applyFont="1" applyFill="1" applyBorder="1"/>
    <xf numFmtId="0" fontId="7" fillId="4" borderId="10" xfId="0" applyFont="1" applyFill="1" applyBorder="1"/>
    <xf numFmtId="0" fontId="0" fillId="4" borderId="10" xfId="0" applyFill="1" applyBorder="1"/>
    <xf numFmtId="0" fontId="0" fillId="4" borderId="19" xfId="0" applyFill="1" applyBorder="1"/>
    <xf numFmtId="0" fontId="8" fillId="4" borderId="13" xfId="0" quotePrefix="1" applyFont="1" applyFill="1" applyBorder="1"/>
    <xf numFmtId="0" fontId="0" fillId="4" borderId="9" xfId="0" applyFill="1" applyBorder="1"/>
    <xf numFmtId="168" fontId="0" fillId="4" borderId="13" xfId="1" applyNumberFormat="1" applyFont="1" applyFill="1" applyBorder="1" applyProtection="1"/>
    <xf numFmtId="2" fontId="0" fillId="4" borderId="20" xfId="0" applyNumberFormat="1" applyFill="1" applyBorder="1" applyAlignment="1">
      <alignment horizontal="center"/>
    </xf>
    <xf numFmtId="165" fontId="0" fillId="4" borderId="21" xfId="1" applyNumberFormat="1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165" fontId="0" fillId="4" borderId="9" xfId="1" applyNumberFormat="1" applyFon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5" fontId="0" fillId="4" borderId="12" xfId="1" applyNumberFormat="1" applyFont="1" applyFill="1" applyBorder="1" applyAlignment="1">
      <alignment horizontal="center"/>
    </xf>
    <xf numFmtId="165" fontId="0" fillId="4" borderId="23" xfId="1" applyNumberFormat="1" applyFont="1" applyFill="1" applyBorder="1" applyAlignment="1">
      <alignment horizontal="center"/>
    </xf>
    <xf numFmtId="0" fontId="0" fillId="4" borderId="12" xfId="0" quotePrefix="1" applyFill="1" applyBorder="1" applyAlignment="1">
      <alignment horizontal="right"/>
    </xf>
    <xf numFmtId="2" fontId="0" fillId="4" borderId="24" xfId="0" applyNumberFormat="1" applyFill="1" applyBorder="1" applyAlignment="1">
      <alignment horizontal="center"/>
    </xf>
    <xf numFmtId="165" fontId="0" fillId="4" borderId="25" xfId="1" applyNumberFormat="1" applyFont="1" applyFill="1" applyBorder="1" applyAlignment="1">
      <alignment horizontal="center"/>
    </xf>
    <xf numFmtId="166" fontId="2" fillId="4" borderId="15" xfId="0" applyNumberFormat="1" applyFont="1" applyFill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165" fontId="2" fillId="4" borderId="19" xfId="0" applyNumberFormat="1" applyFont="1" applyFill="1" applyBorder="1" applyAlignment="1">
      <alignment horizontal="center"/>
    </xf>
    <xf numFmtId="165" fontId="2" fillId="4" borderId="13" xfId="0" quotePrefix="1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165" fontId="2" fillId="4" borderId="0" xfId="0" quotePrefix="1" applyNumberFormat="1" applyFont="1" applyFill="1" applyAlignment="1">
      <alignment horizontal="center"/>
    </xf>
    <xf numFmtId="165" fontId="2" fillId="4" borderId="22" xfId="0" quotePrefix="1" applyNumberFormat="1" applyFont="1" applyFill="1" applyBorder="1" applyAlignment="1">
      <alignment horizontal="center"/>
    </xf>
    <xf numFmtId="165" fontId="2" fillId="4" borderId="12" xfId="0" quotePrefix="1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165" fontId="2" fillId="4" borderId="22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right"/>
    </xf>
    <xf numFmtId="0" fontId="2" fillId="4" borderId="13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2" fontId="2" fillId="4" borderId="0" xfId="0" quotePrefix="1" applyNumberFormat="1" applyFont="1" applyFill="1" applyAlignment="1">
      <alignment horizontal="center"/>
    </xf>
    <xf numFmtId="0" fontId="0" fillId="0" borderId="5" xfId="0" applyBorder="1"/>
    <xf numFmtId="165" fontId="0" fillId="2" borderId="10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13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>
      <alignment horizontal="center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165" fontId="2" fillId="0" borderId="18" xfId="0" quotePrefix="1" applyNumberFormat="1" applyFont="1" applyBorder="1"/>
    <xf numFmtId="165" fontId="4" fillId="0" borderId="0" xfId="0" quotePrefix="1" applyNumberFormat="1" applyFont="1"/>
    <xf numFmtId="0" fontId="2" fillId="4" borderId="1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116</xdr:row>
      <xdr:rowOff>114300</xdr:rowOff>
    </xdr:from>
    <xdr:to>
      <xdr:col>11</xdr:col>
      <xdr:colOff>358140</xdr:colOff>
      <xdr:row>118</xdr:row>
      <xdr:rowOff>76200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6E92E60E-1B0A-49A4-98C8-C71C068BE28A}"/>
            </a:ext>
          </a:extLst>
        </xdr:cNvPr>
        <xdr:cNvSpPr/>
      </xdr:nvSpPr>
      <xdr:spPr>
        <a:xfrm>
          <a:off x="5859780" y="3924300"/>
          <a:ext cx="210312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53340</xdr:colOff>
      <xdr:row>116</xdr:row>
      <xdr:rowOff>114300</xdr:rowOff>
    </xdr:from>
    <xdr:to>
      <xdr:col>23</xdr:col>
      <xdr:colOff>0</xdr:colOff>
      <xdr:row>118</xdr:row>
      <xdr:rowOff>76200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1751CFA-66A7-4CF3-8C56-686C9769E637}"/>
            </a:ext>
          </a:extLst>
        </xdr:cNvPr>
        <xdr:cNvSpPr/>
      </xdr:nvSpPr>
      <xdr:spPr>
        <a:xfrm>
          <a:off x="9951720" y="21473160"/>
          <a:ext cx="102870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213360</xdr:colOff>
      <xdr:row>116</xdr:row>
      <xdr:rowOff>114300</xdr:rowOff>
    </xdr:from>
    <xdr:to>
      <xdr:col>17</xdr:col>
      <xdr:colOff>411480</xdr:colOff>
      <xdr:row>118</xdr:row>
      <xdr:rowOff>76200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C7DB093F-79BD-47C8-B10E-92B4534AC7FC}"/>
            </a:ext>
          </a:extLst>
        </xdr:cNvPr>
        <xdr:cNvSpPr/>
      </xdr:nvSpPr>
      <xdr:spPr>
        <a:xfrm>
          <a:off x="9799320" y="3924300"/>
          <a:ext cx="102870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A09F-6FEE-41B0-A4FC-921ED12C6656}">
  <dimension ref="A1:AZ151"/>
  <sheetViews>
    <sheetView tabSelected="1" workbookViewId="0">
      <pane xSplit="5" ySplit="13" topLeftCell="F14" activePane="bottomRight" state="frozen"/>
      <selection pane="topRight" activeCell="F1" sqref="F1"/>
      <selection pane="bottomLeft" activeCell="A11" sqref="A11"/>
      <selection pane="bottomRight" activeCell="D23" sqref="D23"/>
    </sheetView>
  </sheetViews>
  <sheetFormatPr defaultRowHeight="14.4" x14ac:dyDescent="0.3"/>
  <cols>
    <col min="1" max="1" width="1.88671875" customWidth="1"/>
    <col min="2" max="2" width="5.33203125" customWidth="1"/>
    <col min="3" max="3" width="8.33203125" customWidth="1"/>
    <col min="4" max="4" width="13.88671875" customWidth="1"/>
    <col min="5" max="5" width="5.33203125" customWidth="1"/>
    <col min="6" max="6" width="2.33203125" customWidth="1"/>
    <col min="7" max="11" width="7.88671875" customWidth="1"/>
    <col min="12" max="12" width="2.33203125" customWidth="1"/>
    <col min="13" max="17" width="7.88671875" customWidth="1"/>
    <col min="18" max="18" width="2.33203125" customWidth="1"/>
    <col min="19" max="23" width="7.88671875" customWidth="1"/>
    <col min="24" max="24" width="2.33203125" customWidth="1"/>
    <col min="25" max="29" width="7.88671875" customWidth="1"/>
    <col min="30" max="31" width="2.33203125" customWidth="1"/>
    <col min="32" max="32" width="9.44140625" customWidth="1"/>
    <col min="33" max="33" width="2" customWidth="1"/>
    <col min="34" max="34" width="24.109375" customWidth="1"/>
    <col min="35" max="36" width="13.44140625" style="55" customWidth="1"/>
    <col min="37" max="37" width="13.77734375" customWidth="1"/>
    <col min="38" max="42" width="15.44140625" customWidth="1"/>
    <col min="43" max="43" width="9.33203125" customWidth="1"/>
    <col min="44" max="44" width="10.21875" style="68" customWidth="1"/>
    <col min="45" max="47" width="13.44140625" style="68" customWidth="1"/>
  </cols>
  <sheetData>
    <row r="1" spans="1:52" ht="4.2" customHeight="1" x14ac:dyDescent="0.3">
      <c r="AF1" s="2"/>
    </row>
    <row r="2" spans="1:52" s="68" customFormat="1" ht="14.4" customHeight="1" x14ac:dyDescent="0.3">
      <c r="A2"/>
      <c r="B2"/>
      <c r="C2"/>
      <c r="D2" s="51"/>
      <c r="E2" s="50"/>
      <c r="F2" s="50"/>
      <c r="G2" s="51" t="s">
        <v>41</v>
      </c>
      <c r="H2" s="50"/>
      <c r="I2" s="50"/>
      <c r="J2" s="50"/>
      <c r="K2" s="50"/>
      <c r="L2" s="50"/>
      <c r="M2" s="50"/>
      <c r="N2" s="50"/>
      <c r="O2" s="50"/>
      <c r="P2" s="50"/>
      <c r="Q2" s="50"/>
      <c r="R2"/>
      <c r="S2"/>
      <c r="T2" s="53"/>
      <c r="U2" s="52"/>
      <c r="V2" s="50"/>
      <c r="W2" s="50"/>
      <c r="X2" s="50"/>
      <c r="Y2" s="50"/>
      <c r="Z2" s="50"/>
      <c r="AA2"/>
      <c r="AB2"/>
      <c r="AC2"/>
      <c r="AD2"/>
      <c r="AE2"/>
      <c r="AF2"/>
      <c r="AG2"/>
      <c r="AH2"/>
      <c r="AI2" s="55"/>
      <c r="AJ2" s="55"/>
      <c r="AK2"/>
      <c r="AL2"/>
      <c r="AM2"/>
      <c r="AN2"/>
      <c r="AO2"/>
      <c r="AP2"/>
      <c r="AQ2"/>
      <c r="AV2"/>
      <c r="AW2"/>
      <c r="AX2"/>
      <c r="AY2"/>
      <c r="AZ2"/>
    </row>
    <row r="3" spans="1:52" s="68" customFormat="1" ht="14.4" customHeight="1" x14ac:dyDescent="0.3">
      <c r="A3"/>
      <c r="B3"/>
      <c r="C3"/>
      <c r="D3" s="50"/>
      <c r="E3" s="50"/>
      <c r="F3" s="50"/>
      <c r="G3" s="51" t="s">
        <v>42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/>
      <c r="S3"/>
      <c r="T3" s="53"/>
      <c r="U3" s="52"/>
      <c r="V3" s="50"/>
      <c r="W3" s="50"/>
      <c r="X3" s="50"/>
      <c r="Y3" s="50"/>
      <c r="Z3" s="50"/>
      <c r="AA3"/>
      <c r="AB3"/>
      <c r="AC3"/>
      <c r="AD3"/>
      <c r="AE3"/>
      <c r="AF3"/>
      <c r="AG3"/>
      <c r="AH3"/>
      <c r="AI3" s="55"/>
      <c r="AJ3" s="55"/>
      <c r="AK3"/>
      <c r="AL3"/>
      <c r="AM3"/>
      <c r="AN3"/>
      <c r="AO3"/>
      <c r="AP3"/>
      <c r="AQ3"/>
      <c r="AV3"/>
      <c r="AW3"/>
      <c r="AX3"/>
      <c r="AY3"/>
      <c r="AZ3"/>
    </row>
    <row r="4" spans="1:52" s="68" customFormat="1" ht="6" customHeight="1" x14ac:dyDescent="0.3">
      <c r="A4"/>
      <c r="B4"/>
      <c r="C4"/>
      <c r="D4" s="50"/>
      <c r="E4" s="50"/>
      <c r="F4" s="50"/>
      <c r="G4" s="51"/>
      <c r="H4" s="50"/>
      <c r="I4" s="50"/>
      <c r="J4" s="50"/>
      <c r="K4" s="50"/>
      <c r="L4" s="50"/>
      <c r="M4" s="50"/>
      <c r="N4" s="50"/>
      <c r="O4" s="50"/>
      <c r="P4" s="50"/>
      <c r="Q4" s="50"/>
      <c r="R4"/>
      <c r="S4"/>
      <c r="T4" s="53"/>
      <c r="U4" s="52"/>
      <c r="V4" s="50"/>
      <c r="W4" s="50"/>
      <c r="X4" s="50"/>
      <c r="Y4" s="50"/>
      <c r="Z4" s="50"/>
      <c r="AA4"/>
      <c r="AB4"/>
      <c r="AC4"/>
      <c r="AD4"/>
      <c r="AE4"/>
      <c r="AF4"/>
      <c r="AG4"/>
      <c r="AH4"/>
      <c r="AI4" s="55"/>
      <c r="AJ4" s="55"/>
      <c r="AK4"/>
      <c r="AL4"/>
      <c r="AM4"/>
      <c r="AN4"/>
      <c r="AO4"/>
      <c r="AP4"/>
      <c r="AQ4"/>
      <c r="AV4"/>
      <c r="AW4"/>
      <c r="AX4"/>
      <c r="AY4"/>
      <c r="AZ4"/>
    </row>
    <row r="5" spans="1:52" s="68" customFormat="1" ht="14.4" customHeight="1" x14ac:dyDescent="0.3">
      <c r="A5"/>
      <c r="B5"/>
      <c r="C5"/>
      <c r="D5" s="50"/>
      <c r="E5" s="50"/>
      <c r="F5" s="50"/>
      <c r="G5" s="51" t="s">
        <v>40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/>
      <c r="S5"/>
      <c r="T5" s="53"/>
      <c r="U5" s="52"/>
      <c r="V5" s="50"/>
      <c r="W5" s="50"/>
      <c r="X5" s="50"/>
      <c r="Y5" s="50"/>
      <c r="Z5" s="50"/>
      <c r="AA5"/>
      <c r="AB5"/>
      <c r="AC5"/>
      <c r="AD5"/>
      <c r="AE5"/>
      <c r="AF5"/>
      <c r="AG5"/>
      <c r="AH5"/>
      <c r="AI5" s="55"/>
      <c r="AJ5" s="55"/>
      <c r="AK5"/>
      <c r="AL5"/>
      <c r="AM5"/>
      <c r="AN5"/>
      <c r="AO5"/>
      <c r="AP5"/>
      <c r="AQ5"/>
      <c r="AV5"/>
      <c r="AW5"/>
      <c r="AX5"/>
      <c r="AY5"/>
      <c r="AZ5"/>
    </row>
    <row r="6" spans="1:52" s="68" customFormat="1" ht="6" customHeight="1" x14ac:dyDescent="0.3">
      <c r="A6"/>
      <c r="B6"/>
      <c r="C6"/>
      <c r="D6" s="50"/>
      <c r="E6" s="50"/>
      <c r="F6" s="50"/>
      <c r="G6" s="51"/>
      <c r="H6" s="50"/>
      <c r="I6" s="50"/>
      <c r="J6" s="50"/>
      <c r="K6" s="50"/>
      <c r="L6" s="50"/>
      <c r="M6" s="50"/>
      <c r="N6" s="50"/>
      <c r="O6" s="50"/>
      <c r="P6" s="50"/>
      <c r="Q6" s="50"/>
      <c r="R6"/>
      <c r="S6"/>
      <c r="T6" s="53"/>
      <c r="U6" s="52"/>
      <c r="V6" s="50"/>
      <c r="W6" s="50"/>
      <c r="X6" s="50"/>
      <c r="Y6" s="50"/>
      <c r="Z6" s="50"/>
      <c r="AA6"/>
      <c r="AB6"/>
      <c r="AC6"/>
      <c r="AD6"/>
      <c r="AE6"/>
      <c r="AF6"/>
      <c r="AG6"/>
      <c r="AH6"/>
      <c r="AI6" s="55"/>
      <c r="AJ6" s="55"/>
      <c r="AK6"/>
      <c r="AL6"/>
      <c r="AM6"/>
      <c r="AN6"/>
      <c r="AO6"/>
      <c r="AP6"/>
      <c r="AQ6"/>
      <c r="AV6"/>
      <c r="AW6"/>
      <c r="AX6"/>
      <c r="AY6"/>
      <c r="AZ6"/>
    </row>
    <row r="7" spans="1:52" s="68" customFormat="1" ht="14.4" customHeight="1" x14ac:dyDescent="0.3">
      <c r="A7"/>
      <c r="B7"/>
      <c r="C7"/>
      <c r="D7" s="50"/>
      <c r="E7" s="50"/>
      <c r="F7" s="50"/>
      <c r="G7" s="52" t="s">
        <v>49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/>
      <c r="S7"/>
      <c r="T7" s="53"/>
      <c r="U7" s="52"/>
      <c r="V7" s="50"/>
      <c r="W7" s="50"/>
      <c r="X7" s="50"/>
      <c r="Y7" s="50"/>
      <c r="Z7" s="50"/>
      <c r="AA7"/>
      <c r="AB7"/>
      <c r="AC7"/>
      <c r="AD7"/>
      <c r="AE7"/>
      <c r="AF7"/>
      <c r="AG7"/>
      <c r="AH7"/>
      <c r="AI7" s="55"/>
      <c r="AJ7" s="55"/>
      <c r="AK7"/>
      <c r="AL7"/>
      <c r="AM7"/>
      <c r="AN7"/>
      <c r="AO7"/>
      <c r="AP7"/>
      <c r="AQ7"/>
      <c r="AV7"/>
      <c r="AW7"/>
      <c r="AX7"/>
      <c r="AY7"/>
      <c r="AZ7"/>
    </row>
    <row r="8" spans="1:52" s="68" customFormat="1" ht="14.4" customHeight="1" x14ac:dyDescent="0.3">
      <c r="A8"/>
      <c r="B8"/>
      <c r="C8"/>
      <c r="D8" s="50"/>
      <c r="E8" s="50"/>
      <c r="F8" s="50"/>
      <c r="G8" s="52" t="s">
        <v>50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/>
      <c r="S8"/>
      <c r="T8" s="53"/>
      <c r="U8" s="52"/>
      <c r="V8" s="50"/>
      <c r="W8" s="50"/>
      <c r="X8" s="50"/>
      <c r="Y8" s="50"/>
      <c r="Z8" s="50"/>
      <c r="AA8"/>
      <c r="AB8"/>
      <c r="AC8"/>
      <c r="AD8"/>
      <c r="AE8"/>
      <c r="AF8"/>
      <c r="AG8"/>
      <c r="AH8"/>
      <c r="AI8" s="55"/>
      <c r="AJ8" s="55"/>
      <c r="AK8"/>
      <c r="AL8"/>
      <c r="AM8"/>
      <c r="AN8"/>
      <c r="AO8"/>
      <c r="AP8"/>
      <c r="AQ8"/>
      <c r="AV8"/>
      <c r="AW8"/>
      <c r="AX8"/>
      <c r="AY8"/>
      <c r="AZ8"/>
    </row>
    <row r="9" spans="1:52" s="68" customFormat="1" ht="14.4" customHeight="1" x14ac:dyDescent="0.3">
      <c r="A9"/>
      <c r="B9"/>
      <c r="C9"/>
      <c r="D9" s="50"/>
      <c r="E9" s="50"/>
      <c r="F9" s="50"/>
      <c r="G9" s="52" t="s">
        <v>48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/>
      <c r="S9"/>
      <c r="T9" s="53"/>
      <c r="U9" s="52"/>
      <c r="V9" s="50"/>
      <c r="W9" s="50"/>
      <c r="X9" s="50"/>
      <c r="Y9" s="50"/>
      <c r="Z9" s="50"/>
      <c r="AA9"/>
      <c r="AB9"/>
      <c r="AC9"/>
      <c r="AD9"/>
      <c r="AE9"/>
      <c r="AF9"/>
      <c r="AG9"/>
      <c r="AH9"/>
      <c r="AI9" s="55"/>
      <c r="AJ9" s="55"/>
      <c r="AK9"/>
      <c r="AL9"/>
      <c r="AM9"/>
      <c r="AN9"/>
      <c r="AO9"/>
      <c r="AP9"/>
      <c r="AQ9"/>
      <c r="AV9"/>
      <c r="AW9"/>
      <c r="AX9"/>
      <c r="AY9"/>
      <c r="AZ9"/>
    </row>
    <row r="10" spans="1:52" s="68" customFormat="1" ht="6" customHeight="1" x14ac:dyDescent="0.3">
      <c r="A10"/>
      <c r="B10"/>
      <c r="C10"/>
      <c r="D10" s="50"/>
      <c r="E10" s="50"/>
      <c r="F10" s="50"/>
      <c r="G10" s="52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/>
      <c r="S10"/>
      <c r="T10" s="53"/>
      <c r="U10" s="52"/>
      <c r="V10" s="50"/>
      <c r="W10" s="50"/>
      <c r="X10" s="50"/>
      <c r="Y10" s="50"/>
      <c r="Z10" s="50"/>
      <c r="AA10"/>
      <c r="AB10"/>
      <c r="AC10"/>
      <c r="AD10"/>
      <c r="AE10"/>
      <c r="AF10"/>
      <c r="AG10"/>
      <c r="AH10"/>
      <c r="AI10" s="55"/>
      <c r="AJ10" s="55"/>
      <c r="AK10"/>
      <c r="AL10"/>
      <c r="AM10"/>
      <c r="AN10"/>
      <c r="AO10"/>
      <c r="AP10"/>
      <c r="AQ10"/>
      <c r="AV10"/>
      <c r="AW10"/>
      <c r="AX10"/>
      <c r="AY10"/>
      <c r="AZ10"/>
    </row>
    <row r="11" spans="1:52" s="68" customFormat="1" ht="14.4" customHeight="1" x14ac:dyDescent="0.3">
      <c r="A11"/>
      <c r="B11"/>
      <c r="C11"/>
      <c r="D11" s="50"/>
      <c r="E11" s="50"/>
      <c r="F11" s="50"/>
      <c r="G11" s="62" t="s">
        <v>58</v>
      </c>
      <c r="H11" s="50"/>
      <c r="I11" s="50"/>
      <c r="J11" s="50"/>
      <c r="K11" s="50"/>
      <c r="L11" s="50"/>
      <c r="M11" s="50"/>
      <c r="N11" s="50"/>
      <c r="O11" s="50"/>
      <c r="P11" s="50"/>
      <c r="Q11" s="51" t="s">
        <v>59</v>
      </c>
      <c r="T11" s="53"/>
      <c r="U11" s="52"/>
      <c r="V11" s="50"/>
      <c r="W11" s="50"/>
      <c r="X11" s="50"/>
      <c r="Y11" s="50"/>
      <c r="Z11" s="50"/>
      <c r="AA11"/>
      <c r="AB11"/>
      <c r="AC11"/>
      <c r="AD11"/>
      <c r="AE11"/>
      <c r="AF11"/>
      <c r="AG11"/>
      <c r="AH11"/>
      <c r="AI11" s="55"/>
      <c r="AJ11" s="55"/>
      <c r="AK11"/>
      <c r="AL11"/>
      <c r="AM11"/>
      <c r="AN11"/>
      <c r="AO11"/>
      <c r="AP11"/>
      <c r="AQ11"/>
      <c r="AV11"/>
      <c r="AW11"/>
      <c r="AX11"/>
      <c r="AY11"/>
      <c r="AZ11"/>
    </row>
    <row r="12" spans="1:52" s="68" customFormat="1" ht="14.4" customHeight="1" x14ac:dyDescent="0.3">
      <c r="A12"/>
      <c r="B12"/>
      <c r="C12"/>
      <c r="D12" s="50"/>
      <c r="E12" s="50"/>
      <c r="F12" s="50"/>
      <c r="G12" s="112" t="s">
        <v>43</v>
      </c>
      <c r="H12" s="50"/>
      <c r="I12" s="50"/>
      <c r="J12" s="50"/>
      <c r="K12" s="50"/>
      <c r="L12" s="50"/>
      <c r="M12" s="50"/>
      <c r="N12" s="50"/>
      <c r="O12" s="50"/>
      <c r="P12" s="50"/>
      <c r="Q12" s="51"/>
      <c r="R12"/>
      <c r="S12"/>
      <c r="T12" s="53"/>
      <c r="U12" s="52"/>
      <c r="V12" s="50"/>
      <c r="W12" s="50"/>
      <c r="X12" s="50"/>
      <c r="Y12" s="50"/>
      <c r="Z12" s="50"/>
      <c r="AA12"/>
      <c r="AB12"/>
      <c r="AC12"/>
      <c r="AD12"/>
      <c r="AE12"/>
      <c r="AF12"/>
      <c r="AG12"/>
      <c r="AH12"/>
      <c r="AI12" s="55"/>
      <c r="AJ12" s="55"/>
      <c r="AK12"/>
      <c r="AL12"/>
      <c r="AM12"/>
      <c r="AN12"/>
      <c r="AO12"/>
      <c r="AP12"/>
      <c r="AQ12"/>
      <c r="AV12"/>
      <c r="AW12"/>
      <c r="AX12"/>
      <c r="AY12"/>
      <c r="AZ12"/>
    </row>
    <row r="13" spans="1:52" s="68" customFormat="1" ht="14.4" customHeight="1" x14ac:dyDescent="0.3">
      <c r="A13"/>
      <c r="B13"/>
      <c r="C13"/>
      <c r="D13" s="50"/>
      <c r="E13" s="50"/>
      <c r="F13" s="50"/>
      <c r="H13" s="50"/>
      <c r="I13" s="50"/>
      <c r="J13" s="50"/>
      <c r="K13" s="50"/>
      <c r="L13" s="50"/>
      <c r="M13" s="50"/>
      <c r="N13" s="50"/>
      <c r="O13" s="50"/>
      <c r="P13" s="50"/>
      <c r="R13"/>
      <c r="S13"/>
      <c r="T13" s="53"/>
      <c r="U13" s="52"/>
      <c r="V13" s="50"/>
      <c r="W13" s="50"/>
      <c r="X13" s="50"/>
      <c r="Y13" s="50"/>
      <c r="Z13" s="50"/>
      <c r="AA13"/>
      <c r="AB13"/>
      <c r="AC13"/>
      <c r="AD13"/>
      <c r="AE13"/>
      <c r="AF13"/>
      <c r="AG13"/>
      <c r="AH13"/>
      <c r="AI13" s="55"/>
      <c r="AJ13" s="55"/>
      <c r="AK13"/>
      <c r="AL13"/>
      <c r="AM13"/>
      <c r="AN13"/>
      <c r="AO13"/>
      <c r="AP13"/>
      <c r="AQ13"/>
      <c r="AV13"/>
      <c r="AW13"/>
      <c r="AX13"/>
      <c r="AY13"/>
      <c r="AZ13"/>
    </row>
    <row r="14" spans="1:52" s="68" customFormat="1" ht="6" customHeight="1" thickBot="1" x14ac:dyDescent="0.35">
      <c r="A14"/>
      <c r="B14"/>
      <c r="C14"/>
      <c r="D14" s="51"/>
      <c r="E14" s="50"/>
      <c r="F14" s="50"/>
      <c r="G14" s="6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/>
      <c r="S14"/>
      <c r="T14" s="53"/>
      <c r="U14" s="52"/>
      <c r="V14" s="50"/>
      <c r="W14" s="50"/>
      <c r="X14" s="50"/>
      <c r="Y14" s="50"/>
      <c r="Z14" s="50"/>
      <c r="AA14"/>
      <c r="AB14"/>
      <c r="AC14"/>
      <c r="AD14"/>
      <c r="AE14"/>
      <c r="AF14"/>
      <c r="AG14"/>
      <c r="AH14"/>
      <c r="AI14" s="55"/>
      <c r="AJ14" s="55"/>
      <c r="AK14"/>
      <c r="AL14"/>
      <c r="AM14"/>
      <c r="AN14"/>
      <c r="AO14"/>
      <c r="AP14"/>
      <c r="AQ14"/>
      <c r="AV14"/>
      <c r="AW14"/>
      <c r="AX14"/>
      <c r="AY14"/>
      <c r="AZ14"/>
    </row>
    <row r="15" spans="1:52" s="68" customFormat="1" ht="14.4" customHeight="1" thickTop="1" x14ac:dyDescent="0.3">
      <c r="A15"/>
      <c r="B15"/>
      <c r="C15"/>
      <c r="D15" s="51"/>
      <c r="E15" s="50"/>
      <c r="F15" s="50"/>
      <c r="G15" s="54" t="s">
        <v>32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/>
      <c r="S15" s="126" t="s">
        <v>53</v>
      </c>
      <c r="T15" s="127"/>
      <c r="U15" s="128"/>
      <c r="V15" s="129"/>
      <c r="W15" s="129"/>
      <c r="X15" s="129"/>
      <c r="Y15" s="129"/>
      <c r="Z15" s="129"/>
      <c r="AA15" s="130"/>
      <c r="AB15" s="130"/>
      <c r="AC15" s="131"/>
      <c r="AD15"/>
      <c r="AE15"/>
      <c r="AF15"/>
      <c r="AG15"/>
      <c r="AH15"/>
      <c r="AI15" s="55"/>
      <c r="AJ15" s="55"/>
      <c r="AK15"/>
      <c r="AL15"/>
      <c r="AM15"/>
      <c r="AN15"/>
      <c r="AO15"/>
      <c r="AP15"/>
      <c r="AQ15"/>
      <c r="AV15"/>
      <c r="AW15"/>
      <c r="AX15"/>
      <c r="AY15"/>
      <c r="AZ15"/>
    </row>
    <row r="16" spans="1:52" s="68" customFormat="1" ht="14.4" customHeight="1" x14ac:dyDescent="0.3">
      <c r="A16"/>
      <c r="B16"/>
      <c r="C16"/>
      <c r="D16" s="50"/>
      <c r="E16" s="50"/>
      <c r="F16" s="50"/>
      <c r="G16" s="51" t="s">
        <v>31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/>
      <c r="S16" s="132" t="s">
        <v>33</v>
      </c>
      <c r="T16" s="120"/>
      <c r="U16" s="121"/>
      <c r="V16" s="122"/>
      <c r="W16" s="122"/>
      <c r="X16" s="122"/>
      <c r="Y16" s="122"/>
      <c r="Z16" s="122"/>
      <c r="AA16" s="123"/>
      <c r="AB16" s="123"/>
      <c r="AC16" s="133"/>
      <c r="AD16"/>
      <c r="AE16"/>
      <c r="AF16"/>
      <c r="AG16"/>
      <c r="AH16"/>
      <c r="AI16" s="55"/>
      <c r="AJ16" s="55"/>
      <c r="AK16"/>
      <c r="AL16"/>
      <c r="AM16"/>
      <c r="AN16"/>
      <c r="AO16"/>
      <c r="AP16"/>
      <c r="AQ16"/>
      <c r="AV16"/>
      <c r="AW16"/>
      <c r="AX16"/>
      <c r="AY16"/>
      <c r="AZ16"/>
    </row>
    <row r="17" spans="1:52" s="68" customFormat="1" ht="14.4" customHeight="1" x14ac:dyDescent="0.3">
      <c r="A17"/>
      <c r="B17"/>
      <c r="C17"/>
      <c r="D17" s="50"/>
      <c r="E17" s="50"/>
      <c r="F17" s="50"/>
      <c r="G17" s="51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/>
      <c r="S17" s="134"/>
      <c r="T17" s="120"/>
      <c r="U17" s="121"/>
      <c r="V17" s="122"/>
      <c r="W17" s="122"/>
      <c r="X17" s="122"/>
      <c r="Y17" s="176" t="s">
        <v>37</v>
      </c>
      <c r="Z17" s="176"/>
      <c r="AA17" s="176"/>
      <c r="AB17" s="123"/>
      <c r="AC17" s="133"/>
      <c r="AD17"/>
      <c r="AE17"/>
      <c r="AF17"/>
      <c r="AG17"/>
      <c r="AH17"/>
      <c r="AI17" s="55"/>
      <c r="AJ17" s="55"/>
      <c r="AK17"/>
      <c r="AL17"/>
      <c r="AM17"/>
      <c r="AN17"/>
      <c r="AO17"/>
      <c r="AP17"/>
      <c r="AQ17"/>
      <c r="AV17"/>
      <c r="AW17"/>
      <c r="AX17"/>
      <c r="AY17"/>
      <c r="AZ17"/>
    </row>
    <row r="18" spans="1:52" x14ac:dyDescent="0.3">
      <c r="G18" s="12" t="s">
        <v>15</v>
      </c>
      <c r="S18" s="175" t="s">
        <v>45</v>
      </c>
      <c r="T18" s="176"/>
      <c r="U18" s="176"/>
      <c r="V18" s="176" t="s">
        <v>38</v>
      </c>
      <c r="W18" s="176"/>
      <c r="X18" s="162"/>
      <c r="Y18" s="176" t="s">
        <v>46</v>
      </c>
      <c r="Z18" s="176"/>
      <c r="AA18" s="176"/>
      <c r="AB18" s="176" t="s">
        <v>38</v>
      </c>
      <c r="AC18" s="177"/>
      <c r="AF18" s="79"/>
      <c r="AG18" s="84"/>
      <c r="AH18" s="81"/>
      <c r="AI18" s="45"/>
      <c r="AJ18" s="67"/>
      <c r="AL18" s="70"/>
      <c r="AM18" s="76"/>
      <c r="AO18" s="71"/>
      <c r="AP18" s="72"/>
      <c r="AQ18" s="71"/>
      <c r="AR18" s="73"/>
      <c r="AS18" s="69"/>
      <c r="AT18" s="75"/>
    </row>
    <row r="19" spans="1:52" ht="15" thickBot="1" x14ac:dyDescent="0.35">
      <c r="D19" s="103" t="s">
        <v>1</v>
      </c>
      <c r="G19" s="12" t="s">
        <v>16</v>
      </c>
      <c r="S19" s="175" t="s">
        <v>44</v>
      </c>
      <c r="T19" s="176"/>
      <c r="U19" s="176"/>
      <c r="V19" s="176" t="s">
        <v>39</v>
      </c>
      <c r="W19" s="176"/>
      <c r="X19" s="162"/>
      <c r="Y19" s="176" t="s">
        <v>47</v>
      </c>
      <c r="Z19" s="176"/>
      <c r="AA19" s="176"/>
      <c r="AB19" s="176" t="s">
        <v>39</v>
      </c>
      <c r="AC19" s="177"/>
      <c r="AF19" s="79"/>
      <c r="AG19" s="84"/>
      <c r="AH19" s="81"/>
      <c r="AI19" s="45"/>
      <c r="AJ19" s="67"/>
      <c r="AL19" s="70"/>
      <c r="AM19" s="76"/>
      <c r="AO19" s="71"/>
      <c r="AP19" s="72"/>
      <c r="AQ19" s="71"/>
      <c r="AR19" s="73"/>
      <c r="AS19" s="69"/>
      <c r="AT19" s="75"/>
    </row>
    <row r="20" spans="1:52" ht="15" thickBot="1" x14ac:dyDescent="0.35">
      <c r="B20" s="47" t="str">
        <f>IF(ISNUMBER(D21),IF(NOT(D21&gt;5),"ERROR: enforce N&gt;6",""),"ERROR: enforce N&gt;6")</f>
        <v/>
      </c>
      <c r="D20" s="38"/>
      <c r="G20" s="30">
        <v>1</v>
      </c>
      <c r="H20" s="3">
        <v>0</v>
      </c>
      <c r="I20" s="3">
        <v>0</v>
      </c>
      <c r="J20" s="3">
        <v>0</v>
      </c>
      <c r="K20" s="4">
        <v>0</v>
      </c>
      <c r="S20" s="163" t="s">
        <v>6</v>
      </c>
      <c r="T20" s="164" t="s">
        <v>21</v>
      </c>
      <c r="U20" s="164" t="s">
        <v>34</v>
      </c>
      <c r="V20" s="161" t="s">
        <v>35</v>
      </c>
      <c r="W20" s="161" t="s">
        <v>36</v>
      </c>
      <c r="X20" s="162"/>
      <c r="Y20" s="165" t="s">
        <v>6</v>
      </c>
      <c r="Z20" s="164" t="s">
        <v>21</v>
      </c>
      <c r="AA20" s="164" t="s">
        <v>34</v>
      </c>
      <c r="AB20" s="28" t="s">
        <v>35</v>
      </c>
      <c r="AC20" s="151" t="s">
        <v>36</v>
      </c>
      <c r="AF20" s="79"/>
      <c r="AG20" s="84"/>
      <c r="AH20" s="81"/>
      <c r="AI20" s="45"/>
      <c r="AJ20" s="67"/>
      <c r="AL20" s="70"/>
      <c r="AM20" s="76"/>
      <c r="AO20" s="71"/>
      <c r="AP20" s="72"/>
      <c r="AQ20" s="71"/>
      <c r="AR20" s="73"/>
      <c r="AS20" s="69"/>
      <c r="AT20" s="75"/>
    </row>
    <row r="21" spans="1:52" ht="15.6" thickTop="1" thickBot="1" x14ac:dyDescent="0.35">
      <c r="B21" s="2" t="s">
        <v>4</v>
      </c>
      <c r="C21" s="34"/>
      <c r="D21" s="40">
        <v>252</v>
      </c>
      <c r="E21" s="41"/>
      <c r="G21" s="5">
        <v>0</v>
      </c>
      <c r="H21" s="31">
        <v>1</v>
      </c>
      <c r="I21" s="6">
        <v>0</v>
      </c>
      <c r="J21" s="6">
        <v>0</v>
      </c>
      <c r="K21" s="7">
        <v>0</v>
      </c>
      <c r="M21" s="6"/>
      <c r="N21" s="6"/>
      <c r="O21" s="6"/>
      <c r="P21" s="6"/>
      <c r="S21" s="135">
        <v>0.2</v>
      </c>
      <c r="T21" s="114">
        <f>S21/2</f>
        <v>0.1</v>
      </c>
      <c r="U21" s="114">
        <f>1-T21</f>
        <v>0.9</v>
      </c>
      <c r="V21" s="115">
        <v>-8.1000150628124393E-2</v>
      </c>
      <c r="W21" s="116">
        <v>8.1000150628124518E-2</v>
      </c>
      <c r="X21" s="124"/>
      <c r="Y21" s="113">
        <v>0.2</v>
      </c>
      <c r="Z21" s="114">
        <f>Y21/2</f>
        <v>0.1</v>
      </c>
      <c r="AA21" s="114">
        <f>1-Z21</f>
        <v>0.9</v>
      </c>
      <c r="AB21" s="115">
        <v>-0.14538228903722938</v>
      </c>
      <c r="AC21" s="136">
        <v>0.1453822890372295</v>
      </c>
      <c r="AF21" s="79"/>
      <c r="AG21" s="84"/>
      <c r="AH21" s="81"/>
      <c r="AI21" s="45"/>
      <c r="AJ21" s="67"/>
      <c r="AL21" s="70"/>
      <c r="AM21" s="76"/>
      <c r="AO21" s="71"/>
      <c r="AP21" s="72"/>
      <c r="AQ21" s="71"/>
      <c r="AR21" s="73"/>
      <c r="AS21" s="69"/>
      <c r="AT21" s="75"/>
    </row>
    <row r="22" spans="1:52" ht="15.6" thickTop="1" thickBot="1" x14ac:dyDescent="0.35">
      <c r="B22" s="47" t="str">
        <f>IF(NOT(AND(D23&gt;0,D23&lt;1)),"ERROR: enforce 0&lt;α&lt;1","")</f>
        <v/>
      </c>
      <c r="D22" s="35"/>
      <c r="G22" s="5">
        <v>0</v>
      </c>
      <c r="H22" s="6">
        <v>0</v>
      </c>
      <c r="I22" s="31">
        <v>1</v>
      </c>
      <c r="J22" s="6">
        <v>0</v>
      </c>
      <c r="K22" s="7">
        <v>0</v>
      </c>
      <c r="M22" s="6"/>
      <c r="N22" s="6"/>
      <c r="O22" s="6"/>
      <c r="P22" s="6"/>
      <c r="S22" s="137">
        <v>0.1</v>
      </c>
      <c r="T22" s="125">
        <f>S22/2</f>
        <v>0.05</v>
      </c>
      <c r="U22" s="125">
        <f t="shared" ref="U22:U24" si="0">1-T22</f>
        <v>0.95</v>
      </c>
      <c r="V22" s="118">
        <v>-0.10385199975675082</v>
      </c>
      <c r="W22" s="119">
        <v>0.10385199975675094</v>
      </c>
      <c r="X22" s="124"/>
      <c r="Y22" s="117">
        <v>0.1</v>
      </c>
      <c r="Z22" s="125">
        <f>Y22/2</f>
        <v>0.05</v>
      </c>
      <c r="AA22" s="125">
        <f t="shared" ref="AA22:AA24" si="1">1-Z22</f>
        <v>0.95</v>
      </c>
      <c r="AB22" s="118">
        <v>-0.16150060008432465</v>
      </c>
      <c r="AC22" s="138">
        <v>0.16150060008432476</v>
      </c>
      <c r="AF22" s="79"/>
      <c r="AG22" s="84"/>
      <c r="AH22" s="81"/>
      <c r="AI22" s="45"/>
      <c r="AJ22" s="67"/>
      <c r="AL22" s="70"/>
      <c r="AM22" s="76"/>
      <c r="AO22" s="71"/>
      <c r="AP22" s="72"/>
      <c r="AQ22" s="71"/>
      <c r="AR22" s="73"/>
      <c r="AS22" s="69"/>
      <c r="AT22" s="75"/>
    </row>
    <row r="23" spans="1:52" ht="15.6" thickTop="1" thickBot="1" x14ac:dyDescent="0.35">
      <c r="B23" s="44" t="s">
        <v>6</v>
      </c>
      <c r="C23" s="44"/>
      <c r="D23" s="88">
        <v>0.05</v>
      </c>
      <c r="G23" s="5">
        <v>0</v>
      </c>
      <c r="H23" s="6">
        <v>0</v>
      </c>
      <c r="I23" s="6">
        <v>0</v>
      </c>
      <c r="J23" s="31">
        <v>1</v>
      </c>
      <c r="K23" s="7">
        <v>0</v>
      </c>
      <c r="M23" s="6"/>
      <c r="N23" s="6"/>
      <c r="O23" s="6"/>
      <c r="P23" s="6"/>
      <c r="S23" s="137">
        <v>0.05</v>
      </c>
      <c r="T23" s="125">
        <f>S23/2</f>
        <v>2.5000000000000001E-2</v>
      </c>
      <c r="U23" s="125">
        <f t="shared" si="0"/>
        <v>0.97499999999999998</v>
      </c>
      <c r="V23" s="118">
        <v>-0.1236067838125564</v>
      </c>
      <c r="W23" s="119">
        <v>0.12360678381255652</v>
      </c>
      <c r="X23" s="124"/>
      <c r="Y23" s="117">
        <v>0.05</v>
      </c>
      <c r="Z23" s="125">
        <f>Y23/2</f>
        <v>2.5000000000000001E-2</v>
      </c>
      <c r="AA23" s="125">
        <f t="shared" si="1"/>
        <v>0.97499999999999998</v>
      </c>
      <c r="AB23" s="118">
        <v>-0.17608919313381369</v>
      </c>
      <c r="AC23" s="138">
        <v>0.17608919313381383</v>
      </c>
      <c r="AG23" s="84"/>
      <c r="AH23" s="81"/>
      <c r="AI23" s="45"/>
      <c r="AJ23" s="67"/>
      <c r="AL23" s="70"/>
      <c r="AM23" s="76"/>
      <c r="AO23" s="71"/>
      <c r="AP23" s="72"/>
      <c r="AQ23" s="71"/>
      <c r="AR23" s="73"/>
      <c r="AS23" s="69"/>
      <c r="AT23" s="75"/>
    </row>
    <row r="24" spans="1:52" ht="15.6" thickTop="1" thickBot="1" x14ac:dyDescent="0.35">
      <c r="B24" s="45" t="s">
        <v>23</v>
      </c>
      <c r="D24" s="89">
        <f>D23/2</f>
        <v>2.5000000000000001E-2</v>
      </c>
      <c r="G24" s="8">
        <v>0</v>
      </c>
      <c r="H24" s="9">
        <v>0</v>
      </c>
      <c r="I24" s="9">
        <v>0</v>
      </c>
      <c r="J24" s="9">
        <v>0</v>
      </c>
      <c r="K24" s="32">
        <v>1</v>
      </c>
      <c r="M24" s="6"/>
      <c r="N24" s="6"/>
      <c r="O24" s="6"/>
      <c r="P24" s="6"/>
      <c r="S24" s="139">
        <v>0.01</v>
      </c>
      <c r="T24" s="140">
        <f>S24/2</f>
        <v>5.0000000000000001E-3</v>
      </c>
      <c r="U24" s="140">
        <f t="shared" si="0"/>
        <v>0.995</v>
      </c>
      <c r="V24" s="141">
        <v>-0.16199423064152654</v>
      </c>
      <c r="W24" s="142">
        <v>0.16199423064152668</v>
      </c>
      <c r="X24" s="143"/>
      <c r="Y24" s="144">
        <v>0.01</v>
      </c>
      <c r="Z24" s="140">
        <f>Y24/2</f>
        <v>5.0000000000000001E-3</v>
      </c>
      <c r="AA24" s="140">
        <f t="shared" si="1"/>
        <v>0.995</v>
      </c>
      <c r="AB24" s="141">
        <v>-0.2060399876395248</v>
      </c>
      <c r="AC24" s="145">
        <v>0.20603998763952491</v>
      </c>
      <c r="AF24" s="10" t="s">
        <v>1</v>
      </c>
      <c r="AI24" s="45"/>
      <c r="AJ24" s="67"/>
      <c r="AL24" s="70"/>
      <c r="AM24" s="76"/>
      <c r="AO24" s="71"/>
      <c r="AP24" s="72"/>
      <c r="AQ24" s="71"/>
      <c r="AR24" s="73"/>
      <c r="AS24" s="69"/>
      <c r="AT24" s="75"/>
    </row>
    <row r="25" spans="1:52" ht="15" thickBot="1" x14ac:dyDescent="0.35">
      <c r="B25" s="45" t="s">
        <v>22</v>
      </c>
      <c r="C25" s="45"/>
      <c r="D25" s="89">
        <f>1-D23/2</f>
        <v>0.97499999999999998</v>
      </c>
      <c r="M25" s="6"/>
      <c r="N25" s="6"/>
      <c r="O25" s="6"/>
      <c r="P25" s="6"/>
      <c r="X25" s="14"/>
      <c r="Y25" s="6"/>
      <c r="Z25" s="6"/>
      <c r="AA25" s="6"/>
      <c r="AB25" s="6"/>
      <c r="AF25" s="38"/>
      <c r="AG25" s="109" t="s">
        <v>12</v>
      </c>
      <c r="AI25"/>
      <c r="AJ25"/>
      <c r="AL25" s="70"/>
      <c r="AM25" s="76"/>
      <c r="AO25" s="71"/>
      <c r="AP25" s="72"/>
      <c r="AQ25" s="71"/>
      <c r="AR25" s="73"/>
      <c r="AS25" s="69"/>
      <c r="AT25" s="75"/>
    </row>
    <row r="26" spans="1:52" ht="14.4" customHeight="1" thickTop="1" thickBot="1" x14ac:dyDescent="0.35">
      <c r="B26" s="68"/>
      <c r="C26" s="68"/>
      <c r="D26" s="68"/>
      <c r="G26" s="6"/>
      <c r="L26" s="14" t="s">
        <v>2</v>
      </c>
      <c r="M26" s="6">
        <v>4</v>
      </c>
      <c r="N26" s="6">
        <v>3</v>
      </c>
      <c r="O26" s="6">
        <v>2</v>
      </c>
      <c r="P26" s="6">
        <v>1</v>
      </c>
      <c r="AE26" s="34"/>
      <c r="AF26" s="65">
        <v>9.9999999999999991E-308</v>
      </c>
      <c r="AG26" s="41" t="s">
        <v>5</v>
      </c>
      <c r="AL26" s="70"/>
      <c r="AM26" s="76"/>
      <c r="AO26" s="71"/>
      <c r="AP26" s="72"/>
      <c r="AQ26" s="71"/>
      <c r="AR26" s="73"/>
      <c r="AS26" s="69"/>
      <c r="AT26" s="75"/>
    </row>
    <row r="27" spans="1:52" s="68" customFormat="1" ht="15" thickTop="1" x14ac:dyDescent="0.3">
      <c r="A27"/>
      <c r="F27"/>
      <c r="G27" s="2" t="s">
        <v>54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F27" s="110"/>
      <c r="AG27" s="108" t="s">
        <v>14</v>
      </c>
      <c r="AH27" s="69"/>
      <c r="AL27" s="70"/>
      <c r="AM27" s="76"/>
      <c r="AN27"/>
      <c r="AO27" s="71"/>
      <c r="AP27" s="72"/>
      <c r="AQ27" s="71"/>
      <c r="AR27" s="73"/>
      <c r="AS27" s="69"/>
      <c r="AT27" s="75"/>
      <c r="AV27"/>
      <c r="AW27"/>
      <c r="AX27"/>
      <c r="AY27"/>
      <c r="AZ27"/>
    </row>
    <row r="28" spans="1:52" s="68" customFormat="1" x14ac:dyDescent="0.3">
      <c r="A28"/>
      <c r="F28"/>
      <c r="G28" s="2" t="s">
        <v>26</v>
      </c>
      <c r="H28"/>
      <c r="I28"/>
      <c r="J28"/>
      <c r="K28"/>
      <c r="L28"/>
      <c r="M28" s="2" t="s">
        <v>3</v>
      </c>
      <c r="N28"/>
      <c r="O28"/>
      <c r="P28"/>
      <c r="Q28"/>
      <c r="R28"/>
      <c r="S28" s="2" t="s">
        <v>0</v>
      </c>
      <c r="T28"/>
      <c r="U28"/>
      <c r="V28"/>
      <c r="W28"/>
      <c r="X28"/>
      <c r="Y28" s="2" t="s">
        <v>9</v>
      </c>
      <c r="Z28"/>
      <c r="AA28"/>
      <c r="AB28"/>
      <c r="AC28"/>
      <c r="AD28"/>
      <c r="AE28" s="82"/>
      <c r="AL28" s="70"/>
      <c r="AM28" s="74"/>
      <c r="AN28"/>
      <c r="AO28" s="71"/>
      <c r="AP28" s="72"/>
      <c r="AQ28" s="71"/>
      <c r="AR28" s="73"/>
      <c r="AS28" s="69"/>
      <c r="AT28" s="75"/>
      <c r="AV28"/>
      <c r="AW28"/>
      <c r="AX28"/>
      <c r="AY28"/>
      <c r="AZ28"/>
    </row>
    <row r="29" spans="1:52" s="68" customFormat="1" ht="15" thickBot="1" x14ac:dyDescent="0.35">
      <c r="A29"/>
      <c r="F29"/>
      <c r="G29" s="97" t="str">
        <f>IF(NOT(Y68=""),"ALL CELLS MUST BE 1E-16&lt;#&lt;[1.0 - 1E-16].",IF(NOT(Y29=""),"MATRIX MUST BE POSITIVE DEFINITE",IF(OR(NOT(AND($AF$26&lt;G31,G31&lt;(1-$AF$26))),NOT(AND($AF$26&lt;G32,G32&lt;(1-$AF$26))),NOT(AND($AF$26&lt;G33,G33&lt;(1-$AF$26))),NOT(AND($AF$26&lt;G34,G34&lt;(1-$AF$26))),NOT(AND($AF$26&lt;H32,H32&lt;(1-$AF$26))),NOT(AND($AF$26&lt;H33,H33&lt;(1-$AF$26))),NOT(AND($AF$26&lt;H34,H34&lt;(1-$AF$26))),NOT(AND($AF$26&lt;I33,I33&lt;(1-$AF$26))),NOT(AND($AF$26&lt;I34,I34&lt;(1-$AF$26))),NOT(AND($AF$26&lt;J34,J34&lt;(1-$AF$26)))),"ALL CELLS MUST BE 1E-16&lt;#&lt;[1.0 - 1E-16].","")))</f>
        <v/>
      </c>
      <c r="H29" s="38"/>
      <c r="I29" s="38"/>
      <c r="J29" s="38"/>
      <c r="K29" s="38"/>
      <c r="L29"/>
      <c r="M29"/>
      <c r="N29"/>
      <c r="O29"/>
      <c r="P29"/>
      <c r="Q29"/>
      <c r="R29"/>
      <c r="S29"/>
      <c r="T29"/>
      <c r="U29"/>
      <c r="V29"/>
      <c r="W29"/>
      <c r="X29"/>
      <c r="Y29" s="37" t="str">
        <f>IF(NOT(ISNUMBER(S30*S31*S32*S33*S34*T31*T32*T33*T34*U32*U33*U34*V33*V34*W34)),"MATRIX MUST BE POSITIVE DEFINITE","")</f>
        <v/>
      </c>
      <c r="Z29" s="38"/>
      <c r="AA29" s="38"/>
      <c r="AB29" s="38"/>
      <c r="AC29" s="38"/>
      <c r="AD29"/>
      <c r="AE29" s="55"/>
      <c r="AF29" s="60" t="s">
        <v>13</v>
      </c>
      <c r="AG29" s="55"/>
      <c r="AH29" s="55"/>
      <c r="AK29"/>
      <c r="AL29"/>
      <c r="AM29"/>
      <c r="AN29"/>
      <c r="AO29"/>
      <c r="AP29" s="2"/>
      <c r="AQ29"/>
      <c r="AR29" s="2"/>
      <c r="AS29" s="69"/>
      <c r="AT29" s="69"/>
      <c r="AV29"/>
      <c r="AW29"/>
      <c r="AX29"/>
      <c r="AY29"/>
      <c r="AZ29"/>
    </row>
    <row r="30" spans="1:52" s="68" customFormat="1" ht="15.6" thickTop="1" thickBot="1" x14ac:dyDescent="0.35">
      <c r="A30"/>
      <c r="D30" s="96" t="s">
        <v>24</v>
      </c>
      <c r="E30" s="47"/>
      <c r="F30" s="34"/>
      <c r="G30" s="39"/>
      <c r="H30" s="29">
        <f>G31</f>
        <v>2.5000000000000001E-2</v>
      </c>
      <c r="I30" s="29">
        <f>G32</f>
        <v>2.5000000000000001E-2</v>
      </c>
      <c r="J30" s="29">
        <f>G33</f>
        <v>2.5000000000000001E-2</v>
      </c>
      <c r="K30" s="29">
        <f>G34</f>
        <v>2.5000000000000001E-2</v>
      </c>
      <c r="L30" s="36"/>
      <c r="M30" s="15"/>
      <c r="N30" s="16"/>
      <c r="O30" s="16"/>
      <c r="P30" s="16"/>
      <c r="Q30" s="17"/>
      <c r="R30" s="6"/>
      <c r="S30" s="15">
        <v>1</v>
      </c>
      <c r="T30" s="24">
        <v>0</v>
      </c>
      <c r="U30" s="24">
        <v>0</v>
      </c>
      <c r="V30" s="24">
        <v>0</v>
      </c>
      <c r="W30" s="25">
        <v>0</v>
      </c>
      <c r="X30" s="42"/>
      <c r="Y30" s="106">
        <f>SUMPRODUCT($S30:$W30,$S$30:$W$30)</f>
        <v>1</v>
      </c>
      <c r="Z30" s="28">
        <f>SUMPRODUCT($S30:$W30,$S$31:$W$31)</f>
        <v>0.12360678381255652</v>
      </c>
      <c r="AA30" s="28">
        <f>SUMPRODUCT($S30:$W30,$S$32:$W$32)</f>
        <v>0.12360678381255652</v>
      </c>
      <c r="AB30" s="28">
        <f>SUMPRODUCT($S30:$W30,$S$33:$W$33)</f>
        <v>0.12360678381255652</v>
      </c>
      <c r="AC30" s="28">
        <f>SUMPRODUCT($S30:$W30,$S$34:$W$34)</f>
        <v>0.12360678381255652</v>
      </c>
      <c r="AD30" s="41"/>
      <c r="AE30" s="55"/>
      <c r="AF30" s="2" t="s">
        <v>11</v>
      </c>
      <c r="AG30" s="55"/>
      <c r="AH30" s="55"/>
      <c r="AK30"/>
      <c r="AL30"/>
      <c r="AM30"/>
      <c r="AN30"/>
      <c r="AO30"/>
      <c r="AP30"/>
      <c r="AQ30"/>
      <c r="AR30" s="69"/>
      <c r="AS30" s="69"/>
      <c r="AT30" s="69"/>
      <c r="AV30"/>
      <c r="AW30"/>
      <c r="AX30"/>
      <c r="AY30"/>
      <c r="AZ30"/>
    </row>
    <row r="31" spans="1:52" s="68" customFormat="1" ht="15.6" thickTop="1" thickBot="1" x14ac:dyDescent="0.35">
      <c r="A31"/>
      <c r="D31" s="111" t="s">
        <v>25</v>
      </c>
      <c r="E31" s="1"/>
      <c r="F31" s="34"/>
      <c r="G31" s="48">
        <f>$D$24</f>
        <v>2.5000000000000001E-2</v>
      </c>
      <c r="H31" s="39"/>
      <c r="I31" s="29">
        <f>H32</f>
        <v>4.0977569333483066E-2</v>
      </c>
      <c r="J31" s="29">
        <f>H33</f>
        <v>4.0977569333483066E-2</v>
      </c>
      <c r="K31" s="29">
        <f>H34</f>
        <v>4.0977569333483066E-2</v>
      </c>
      <c r="L31" s="36"/>
      <c r="M31" s="18">
        <f>IF(G31=0.5,PI()/2,IF(G31&lt;0.5,ACOS(SQRT(_xlfn.BETA.INV(1-2*G31,0.5,(1+M$26+$D$21-5-2)/2))),PI()-ACOS(SQRT(_xlfn.BETA.INV(1-2*(1-G31),0.5,(1+M$26+$D$21-5-2)/2)))))</f>
        <v>1.4468726018200331</v>
      </c>
      <c r="N31" s="19"/>
      <c r="O31" s="19"/>
      <c r="P31" s="19"/>
      <c r="Q31" s="20"/>
      <c r="R31" s="6"/>
      <c r="S31" s="18">
        <f>COS(M31)</f>
        <v>0.12360678381255652</v>
      </c>
      <c r="T31" s="19">
        <f>SIN(M31)</f>
        <v>0.99233127684030797</v>
      </c>
      <c r="U31" s="26">
        <v>0</v>
      </c>
      <c r="V31" s="26">
        <v>0</v>
      </c>
      <c r="W31" s="27">
        <v>0</v>
      </c>
      <c r="X31" s="42"/>
      <c r="Y31" s="28">
        <f>SUMPRODUCT($S31:$W31,$S$30:$W$30)</f>
        <v>0.12360678381255652</v>
      </c>
      <c r="Z31" s="106">
        <f>SUMPRODUCT($S31:$W31,$S$31:$W$31)</f>
        <v>1</v>
      </c>
      <c r="AA31" s="28">
        <f>SUMPRODUCT($S31:$W31,$S$32:$W$32)</f>
        <v>0.12360678381255688</v>
      </c>
      <c r="AB31" s="28">
        <f>SUMPRODUCT($S31:$W31,$S$33:$W$33)</f>
        <v>0.12360678381255688</v>
      </c>
      <c r="AC31" s="28">
        <f>SUMPRODUCT($S31:$W31,$S$34:$W$34)</f>
        <v>0.12360678381255688</v>
      </c>
      <c r="AD31" s="41"/>
      <c r="AE31"/>
      <c r="AF31" s="64">
        <f>IF($G$29="",LN(MAX(2*MIN(G31,1-G31),$AF$26))+LN(MAX(2*MIN(G32,1-G32),$AF$26))+LN(MAX(2*MIN(G33,1-G33),$AF$26))+LN(MAX(2*MIN(G34,1-G34),$AF$26))+LN(MAX(2*MIN(H32,1-H32),$AF$26))+LN(MAX(2*MIN(H33,1-H33),$AF$26))+LN(MAX(2*MIN(H34,1-H34),$AF$26))+LN(MAX(2*MIN(I33,1-I33),$AF$26))+LN(MAX(2*MIN(I34,1-I34),$AF$26))+LN(MAX(2*MIN(J34,1-J34),$AF$26)),"ERR")</f>
        <v>-25.618732833659575</v>
      </c>
      <c r="AG31" s="55"/>
      <c r="AH31" s="55"/>
      <c r="AK31"/>
      <c r="AL31" s="77"/>
      <c r="AM31" s="77"/>
      <c r="AN31" s="77"/>
      <c r="AO31" s="77"/>
      <c r="AP31"/>
      <c r="AQ31"/>
      <c r="AR31" s="69"/>
      <c r="AS31" s="69"/>
      <c r="AT31" s="69"/>
      <c r="AV31"/>
      <c r="AW31"/>
      <c r="AX31"/>
      <c r="AY31"/>
      <c r="AZ31"/>
    </row>
    <row r="32" spans="1:52" s="68" customFormat="1" ht="15.6" thickTop="1" thickBot="1" x14ac:dyDescent="0.35">
      <c r="A32"/>
      <c r="D32" s="146">
        <f>1-(1-G31)^10</f>
        <v>0.22367037914356247</v>
      </c>
      <c r="E32"/>
      <c r="F32" s="34"/>
      <c r="G32" s="48">
        <f>G31</f>
        <v>2.5000000000000001E-2</v>
      </c>
      <c r="H32" s="48">
        <f>Z71</f>
        <v>4.0977569333483066E-2</v>
      </c>
      <c r="I32" s="39"/>
      <c r="J32" s="29">
        <f>I33</f>
        <v>5.9025571461297832E-2</v>
      </c>
      <c r="K32" s="29">
        <f>I34</f>
        <v>5.9025571461297832E-2</v>
      </c>
      <c r="L32" s="36"/>
      <c r="M32" s="18">
        <f>IF(G32=0.5,PI()/2,IF(G32&lt;0.5,ACOS(SQRT(_xlfn.BETA.INV(1-2*G32,0.5,(1+M$26+$D$21-5-2)/2))),PI()-ACOS(SQRT(_xlfn.BETA.INV(1-2*(1-G32),0.5,(1+M$26+$D$21-5-2)/2)))))</f>
        <v>1.4468726018200331</v>
      </c>
      <c r="N32" s="19">
        <f>IF(H32=0.5,PI()/2,IF(H32&lt;0.5,ACOS(SQRT(_xlfn.BETA.INV(1-2*H32,0.5,(1+N$26+$D$21-5-2)/2))),PI()-ACOS(SQRT(_xlfn.BETA.INV(1-2*(1-H32),0.5,(1+N$26+$D$21-5-2)/2)))))</f>
        <v>1.4605642888920709</v>
      </c>
      <c r="O32" s="19"/>
      <c r="P32" s="19"/>
      <c r="Q32" s="20"/>
      <c r="R32" s="6"/>
      <c r="S32" s="18">
        <f>COS(M32)</f>
        <v>0.12360678381255652</v>
      </c>
      <c r="T32" s="19">
        <f>COS(N32)*SIN(M32)</f>
        <v>0.10916530531316269</v>
      </c>
      <c r="U32" s="19">
        <f>SIN(N32)*SIN(M32)</f>
        <v>0.98630841987250617</v>
      </c>
      <c r="V32" s="26">
        <v>0</v>
      </c>
      <c r="W32" s="27">
        <v>0</v>
      </c>
      <c r="X32" s="42"/>
      <c r="Y32" s="28">
        <f>SUMPRODUCT($S32:$W32,$S$30:$W$30)</f>
        <v>0.12360678381255652</v>
      </c>
      <c r="Z32" s="28">
        <f>SUMPRODUCT($S32:$W32,$S$31:$W$31)</f>
        <v>0.12360678381255688</v>
      </c>
      <c r="AA32" s="106">
        <f>SUMPRODUCT($S32:$W32,$S$32:$W$32)</f>
        <v>1</v>
      </c>
      <c r="AB32" s="28">
        <f>SUMPRODUCT($S32:$W32,$S$33:$W$33)</f>
        <v>0.1236067838125568</v>
      </c>
      <c r="AC32" s="28">
        <f>SUMPRODUCT($S32:$W32,$S$34:$W$34)</f>
        <v>0.1236067838125568</v>
      </c>
      <c r="AD32" s="41"/>
      <c r="AE32"/>
      <c r="AF32"/>
      <c r="AG32" s="55"/>
      <c r="AH32" s="55"/>
      <c r="AK32"/>
      <c r="AL32" s="77"/>
      <c r="AM32" s="77"/>
      <c r="AN32" s="77"/>
      <c r="AO32" s="77"/>
      <c r="AP32"/>
      <c r="AQ32"/>
      <c r="AR32" s="69"/>
      <c r="AS32" s="69"/>
      <c r="AT32" s="69"/>
      <c r="AV32"/>
      <c r="AW32"/>
      <c r="AX32"/>
      <c r="AY32"/>
      <c r="AZ32"/>
    </row>
    <row r="33" spans="1:52" s="68" customFormat="1" ht="15" thickTop="1" x14ac:dyDescent="0.3">
      <c r="A33"/>
      <c r="B33" s="44"/>
      <c r="C33"/>
      <c r="D33"/>
      <c r="E33"/>
      <c r="F33" s="34"/>
      <c r="G33" s="48">
        <f>G31</f>
        <v>2.5000000000000001E-2</v>
      </c>
      <c r="H33" s="48">
        <f>Z72</f>
        <v>4.0977569333483066E-2</v>
      </c>
      <c r="I33" s="48">
        <f>AA72</f>
        <v>5.9025571461297832E-2</v>
      </c>
      <c r="J33" s="39"/>
      <c r="K33" s="29">
        <f>J34</f>
        <v>7.8009361535086363E-2</v>
      </c>
      <c r="L33" s="36"/>
      <c r="M33" s="18">
        <f>IF(G33=0.5,PI()/2,IF(G33&lt;0.5,ACOS(SQRT(_xlfn.BETA.INV(1-2*G33,0.5,(1+M$26+$D$21-5-2)/2))),PI()-ACOS(SQRT(_xlfn.BETA.INV(1-2*(1-G33),0.5,(1+M$26+$D$21-5-2)/2)))))</f>
        <v>1.4468726018200331</v>
      </c>
      <c r="N33" s="19">
        <f>IF(H33=0.5,PI()/2,IF(H33&lt;0.5,ACOS(SQRT(_xlfn.BETA.INV(1-2*H33,0.5,(1+N$26+$D$21-5-2)/2))),PI()-ACOS(SQRT(_xlfn.BETA.INV(1-2*(1-H33),0.5,(1+N$26+$D$21-5-2)/2)))))</f>
        <v>1.4605642888920709</v>
      </c>
      <c r="O33" s="19">
        <f>IF(I33=0.5,PI()/2,IF(I33&lt;0.5,ACOS(SQRT(_xlfn.BETA.INV(1-2*I33,0.5,(1+O$26+$D$21-5-2)/2))),PI()-ACOS(SQRT(_xlfn.BETA.INV(1-2*(1-I33),0.5,(1+O$26+$D$21-5-2)/2)))))</f>
        <v>1.4715270177036159</v>
      </c>
      <c r="P33" s="19"/>
      <c r="Q33" s="20"/>
      <c r="R33" s="6"/>
      <c r="S33" s="18">
        <f>COS(M33)</f>
        <v>0.12360678381255652</v>
      </c>
      <c r="T33" s="19">
        <f>COS(N33)*SIN(M33)</f>
        <v>0.10916530531316269</v>
      </c>
      <c r="U33" s="19">
        <f>COS(O33)*SIN(N33)*SIN(M33)</f>
        <v>9.7749427036645534E-2</v>
      </c>
      <c r="V33" s="19">
        <f>SIN(O33)*SIN(N33)*SIN(M33)</f>
        <v>0.98145267263654001</v>
      </c>
      <c r="W33" s="27">
        <v>0</v>
      </c>
      <c r="X33" s="42"/>
      <c r="Y33" s="28">
        <f>SUMPRODUCT($S33:$W33,$S$30:$W$30)</f>
        <v>0.12360678381255652</v>
      </c>
      <c r="Z33" s="28">
        <f>SUMPRODUCT($S33:$W33,$S$31:$W$31)</f>
        <v>0.12360678381255688</v>
      </c>
      <c r="AA33" s="28">
        <f>SUMPRODUCT($S33:$W33,$S$32:$W$32)</f>
        <v>0.1236067838125568</v>
      </c>
      <c r="AB33" s="106">
        <f>SUMPRODUCT($S33:$W33,$S$33:$W$33)</f>
        <v>1</v>
      </c>
      <c r="AC33" s="28">
        <f>SUMPRODUCT($S33:$W33,$S$34:$W$34)</f>
        <v>0.12360678381255658</v>
      </c>
      <c r="AD33" s="41"/>
      <c r="AE33" s="82"/>
      <c r="AF33" s="83"/>
      <c r="AG33"/>
      <c r="AH33" s="104"/>
      <c r="AK33"/>
      <c r="AL33" s="77"/>
      <c r="AM33" s="77"/>
      <c r="AN33" s="77"/>
      <c r="AO33" s="77"/>
      <c r="AP33"/>
      <c r="AQ33"/>
      <c r="AR33" s="69"/>
      <c r="AS33" s="69"/>
      <c r="AT33" s="69"/>
      <c r="AV33"/>
      <c r="AW33"/>
      <c r="AX33"/>
      <c r="AY33"/>
      <c r="AZ33"/>
    </row>
    <row r="34" spans="1:52" s="68" customFormat="1" ht="15" thickBot="1" x14ac:dyDescent="0.35">
      <c r="A34"/>
      <c r="B34" s="46"/>
      <c r="C34"/>
      <c r="D34"/>
      <c r="E34" s="2"/>
      <c r="F34" s="34"/>
      <c r="G34" s="48">
        <f>G31</f>
        <v>2.5000000000000001E-2</v>
      </c>
      <c r="H34" s="48">
        <f>Z73</f>
        <v>4.0977569333483066E-2</v>
      </c>
      <c r="I34" s="48">
        <f>AA73</f>
        <v>5.9025571461297832E-2</v>
      </c>
      <c r="J34" s="48">
        <f>AB73</f>
        <v>7.8009361535086363E-2</v>
      </c>
      <c r="K34" s="39"/>
      <c r="L34" s="36"/>
      <c r="M34" s="21">
        <f>IF(G34=0.5,PI()/2,IF(G34&lt;0.5,ACOS(SQRT(_xlfn.BETA.INV(1-2*G34,0.5,(1+M$26+$D$21-5-2)/2))),PI()-ACOS(SQRT(_xlfn.BETA.INV(1-2*(1-G34),0.5,(1+M$26+$D$21-5-2)/2)))))</f>
        <v>1.4468726018200331</v>
      </c>
      <c r="N34" s="22">
        <f>IF(H34=0.5,PI()/2,IF(H34&lt;0.5,ACOS(SQRT(_xlfn.BETA.INV(1-2*H34,0.5,(1+N$26+$D$21-5-2)/2))),PI()-ACOS(SQRT(_xlfn.BETA.INV(1-2*(1-H34),0.5,(1+N$26+$D$21-5-2)/2)))))</f>
        <v>1.4605642888920709</v>
      </c>
      <c r="O34" s="22">
        <f>IF(I34=0.5,PI()/2,IF(I34&lt;0.5,ACOS(SQRT(_xlfn.BETA.INV(1-2*I34,0.5,(1+O$26+$D$21-5-2)/2))),PI()-ACOS(SQRT(_xlfn.BETA.INV(1-2*(1-I34),0.5,(1+O$26+$D$21-5-2)/2)))))</f>
        <v>1.4715270177036159</v>
      </c>
      <c r="P34" s="22">
        <f>IF(J34=0.5,PI()/2,IF(J34&lt;0.5,ACOS(SQRT(_xlfn.BETA.INV(1-2*J34,0.5,(1+P$26+$D$21-5-2)/2))),PI()-ACOS(SQRT(_xlfn.BETA.INV(1-2*(1-J34),0.5,(1+P$26+$D$21-5-2)/2)))))</f>
        <v>1.4805037516797424</v>
      </c>
      <c r="Q34" s="23"/>
      <c r="R34" s="6"/>
      <c r="S34" s="21">
        <f>COS(M34)</f>
        <v>0.12360678381255652</v>
      </c>
      <c r="T34" s="22">
        <f>COS(N34)*SIN(M34)</f>
        <v>0.10916530531316269</v>
      </c>
      <c r="U34" s="22">
        <f>COS(O34)*SIN(N34)*SIN(M34)</f>
        <v>9.7749427036645534E-2</v>
      </c>
      <c r="V34" s="22">
        <f>COS(P34)*SIN(O34)*SIN(N34)*SIN(M34)</f>
        <v>8.8497525005089353E-2</v>
      </c>
      <c r="W34" s="23">
        <f>SIN(P34)*SIN(O34)*SIN(N34)*SIN(M34)</f>
        <v>0.97745462129624261</v>
      </c>
      <c r="X34" s="42"/>
      <c r="Y34" s="28">
        <f>SUMPRODUCT($S34:$W34,$S$30:$W$30)</f>
        <v>0.12360678381255652</v>
      </c>
      <c r="Z34" s="28">
        <f>SUMPRODUCT($S34:$W34,$S$31:$W$31)</f>
        <v>0.12360678381255688</v>
      </c>
      <c r="AA34" s="28">
        <f>SUMPRODUCT($S34:$W34,$S$32:$W$32)</f>
        <v>0.1236067838125568</v>
      </c>
      <c r="AB34" s="28">
        <f>SUMPRODUCT($S34:$W34,$S$33:$W$33)</f>
        <v>0.12360678381255658</v>
      </c>
      <c r="AC34" s="106">
        <f>SUMPRODUCT($S34:$W34,$S$34:$W$34)</f>
        <v>1</v>
      </c>
      <c r="AD34" s="41"/>
      <c r="AE34" s="82"/>
      <c r="AF34" s="83"/>
      <c r="AG34" s="59"/>
      <c r="AH34" s="55"/>
      <c r="AK34"/>
      <c r="AL34" s="77"/>
      <c r="AM34" s="77"/>
      <c r="AN34" s="77"/>
      <c r="AO34" s="77"/>
      <c r="AP34"/>
      <c r="AQ34"/>
      <c r="AR34" s="69"/>
      <c r="AS34" s="69"/>
      <c r="AT34" s="69"/>
      <c r="AV34"/>
      <c r="AW34"/>
      <c r="AX34"/>
      <c r="AY34"/>
      <c r="AZ34"/>
    </row>
    <row r="35" spans="1:52" s="68" customFormat="1" ht="15" thickTop="1" x14ac:dyDescent="0.3">
      <c r="A35"/>
      <c r="B35"/>
      <c r="E35"/>
      <c r="F35"/>
      <c r="G35" s="86"/>
      <c r="H35" s="86"/>
      <c r="I35" s="86"/>
      <c r="J35" s="86"/>
      <c r="K35" s="86"/>
      <c r="L35"/>
      <c r="M35"/>
      <c r="N35"/>
      <c r="O35"/>
      <c r="P35"/>
      <c r="Q35"/>
      <c r="R35"/>
      <c r="S35"/>
      <c r="T35"/>
      <c r="U35"/>
      <c r="V35"/>
      <c r="W35"/>
      <c r="X35"/>
      <c r="Y35" s="86"/>
      <c r="Z35" s="86"/>
      <c r="AA35" s="86"/>
      <c r="AB35" s="86"/>
      <c r="AC35" s="86"/>
      <c r="AD35"/>
      <c r="AE35" s="82"/>
      <c r="AF35" s="83"/>
      <c r="AG35"/>
      <c r="AH35" s="55"/>
      <c r="AK35"/>
      <c r="AL35"/>
      <c r="AM35"/>
      <c r="AN35"/>
      <c r="AO35"/>
      <c r="AP35"/>
      <c r="AQ35"/>
      <c r="AV35"/>
      <c r="AW35"/>
      <c r="AX35"/>
      <c r="AY35"/>
      <c r="AZ35"/>
    </row>
    <row r="36" spans="1:52" s="68" customFormat="1" x14ac:dyDescent="0.3">
      <c r="A36"/>
      <c r="B36"/>
      <c r="E36"/>
      <c r="F36"/>
      <c r="G36" s="49" t="s">
        <v>27</v>
      </c>
      <c r="H36" s="43"/>
      <c r="I36" s="43"/>
      <c r="J36" s="43"/>
      <c r="K36" s="43"/>
      <c r="L36"/>
      <c r="M36" s="2" t="s">
        <v>3</v>
      </c>
      <c r="N36"/>
      <c r="O36"/>
      <c r="P36"/>
      <c r="Q36"/>
      <c r="R36"/>
      <c r="S36" s="2" t="s">
        <v>0</v>
      </c>
      <c r="T36"/>
      <c r="U36"/>
      <c r="V36"/>
      <c r="W36"/>
      <c r="X36"/>
      <c r="Y36" s="49" t="s">
        <v>10</v>
      </c>
      <c r="Z36" s="43"/>
      <c r="AA36" s="43"/>
      <c r="AB36" s="43"/>
      <c r="AC36" s="43"/>
      <c r="AD36"/>
      <c r="AE36" s="82"/>
      <c r="AF36" s="83"/>
      <c r="AG36"/>
      <c r="AH36" s="55"/>
      <c r="AK36"/>
      <c r="AL36"/>
      <c r="AM36"/>
      <c r="AN36"/>
      <c r="AO36"/>
      <c r="AP36"/>
      <c r="AQ36"/>
      <c r="AV36"/>
      <c r="AW36"/>
      <c r="AX36"/>
      <c r="AY36"/>
      <c r="AZ36"/>
    </row>
    <row r="37" spans="1:52" s="68" customFormat="1" ht="15" thickBot="1" x14ac:dyDescent="0.35">
      <c r="A37"/>
      <c r="B37"/>
      <c r="E37"/>
      <c r="F37"/>
      <c r="G37" s="97" t="str">
        <f>IF(NOT(Y77=""),"ALL CELLS MUST BE 1E-16&lt;#&lt;[1.0 - 1E-16].",IF(NOT(Y37=""),"MATRIX MUST BE POSITIVE DEFINITE",IF(OR(NOT(AND($AF$26&lt;G39,G39&lt;(1-$AF$26))),NOT(AND($AF$26&lt;G40,G40&lt;(1-$AF$26))),NOT(AND($AF$26&lt;G41,G41&lt;(1-$AF$26))),NOT(AND($AF$26&lt;G42,G42&lt;(1-$AF$26))),NOT(AND($AF$26&lt;H40,H40&lt;(1-$AF$26))),NOT(AND($AF$26&lt;H41,H41&lt;(1-$AF$26))),NOT(AND($AF$26&lt;H42,H42&lt;(1-$AF$26))),NOT(AND($AF$26&lt;I41,I41&lt;(1-$AF$26))),NOT(AND($AF$26&lt;I42,I42&lt;(1-$AF$26))),NOT(AND($AF$26&lt;J42,J42&lt;(1-$AF$26)))),"ALL CELLS MUST BE 1E-16&lt;#&lt;[1.0 - 1E-16].","")))</f>
        <v/>
      </c>
      <c r="H37" s="87"/>
      <c r="I37" s="87"/>
      <c r="J37" s="87"/>
      <c r="K37" s="87"/>
      <c r="L37"/>
      <c r="M37"/>
      <c r="N37"/>
      <c r="O37"/>
      <c r="P37"/>
      <c r="Q37"/>
      <c r="R37"/>
      <c r="S37"/>
      <c r="T37"/>
      <c r="U37"/>
      <c r="V37"/>
      <c r="W37"/>
      <c r="X37"/>
      <c r="Y37" s="37" t="str">
        <f>IF(NOT(ISNUMBER(S38*S39*S40*S41*S42*T39*T40*T41*T42*U40*U41*U42*V41*V42*W42)),"MATRIX MUST BE POSITIVE DEFINITE","")</f>
        <v/>
      </c>
      <c r="Z37" s="87"/>
      <c r="AA37" s="87"/>
      <c r="AB37" s="87"/>
      <c r="AC37" s="87"/>
      <c r="AD37"/>
      <c r="AE37" s="55"/>
      <c r="AF37" s="60" t="s">
        <v>13</v>
      </c>
      <c r="AG37" s="55"/>
      <c r="AH37" s="55"/>
      <c r="AK37"/>
      <c r="AL37"/>
      <c r="AM37"/>
      <c r="AN37"/>
      <c r="AO37"/>
      <c r="AP37"/>
      <c r="AQ37"/>
      <c r="AV37"/>
      <c r="AW37"/>
      <c r="AX37"/>
      <c r="AY37"/>
      <c r="AZ37"/>
    </row>
    <row r="38" spans="1:52" s="68" customFormat="1" ht="15.6" thickTop="1" thickBot="1" x14ac:dyDescent="0.35">
      <c r="A38"/>
      <c r="B38"/>
      <c r="D38" s="96" t="s">
        <v>24</v>
      </c>
      <c r="E38" s="47"/>
      <c r="F38" s="34"/>
      <c r="G38" s="39"/>
      <c r="H38" s="29">
        <f>G39</f>
        <v>0.97499999999999998</v>
      </c>
      <c r="I38" s="29">
        <f>G40</f>
        <v>0.97499999999999998</v>
      </c>
      <c r="J38" s="29">
        <f>G41</f>
        <v>0.97499999999999998</v>
      </c>
      <c r="K38" s="29">
        <f>G42</f>
        <v>0.97499999999999998</v>
      </c>
      <c r="L38" s="36"/>
      <c r="M38" s="15"/>
      <c r="N38" s="16"/>
      <c r="O38" s="16"/>
      <c r="P38" s="16"/>
      <c r="Q38" s="17"/>
      <c r="R38" s="6"/>
      <c r="S38" s="15">
        <v>1</v>
      </c>
      <c r="T38" s="24">
        <v>0</v>
      </c>
      <c r="U38" s="24">
        <v>0</v>
      </c>
      <c r="V38" s="24">
        <v>0</v>
      </c>
      <c r="W38" s="25">
        <v>0</v>
      </c>
      <c r="X38" s="42"/>
      <c r="Y38" s="106">
        <f>SUMPRODUCT($S38:$W38,$S$38:$W$38)</f>
        <v>1</v>
      </c>
      <c r="Z38" s="28">
        <f>SUMPRODUCT($S38:$W38,$S$39:$W$39)</f>
        <v>-0.1236067838125564</v>
      </c>
      <c r="AA38" s="28">
        <f>SUMPRODUCT($S38:$W38,$S$40:$W$40)</f>
        <v>-0.1236067838125564</v>
      </c>
      <c r="AB38" s="28">
        <f>SUMPRODUCT($S38:$W38,$S$41:$W$41)</f>
        <v>-0.1236067838125564</v>
      </c>
      <c r="AC38" s="28">
        <f>SUMPRODUCT($S38:$W38,$S$42:$W$42)</f>
        <v>-0.1236067838125564</v>
      </c>
      <c r="AD38" s="41"/>
      <c r="AE38" s="55"/>
      <c r="AF38" s="2" t="s">
        <v>11</v>
      </c>
      <c r="AG38" s="55"/>
      <c r="AH38" s="55"/>
      <c r="AK38"/>
      <c r="AL38"/>
      <c r="AM38"/>
      <c r="AN38"/>
      <c r="AO38"/>
      <c r="AP38"/>
      <c r="AQ38"/>
      <c r="AV38"/>
      <c r="AW38"/>
      <c r="AX38"/>
      <c r="AY38"/>
      <c r="AZ38"/>
    </row>
    <row r="39" spans="1:52" s="68" customFormat="1" ht="15.6" thickTop="1" thickBot="1" x14ac:dyDescent="0.35">
      <c r="A39"/>
      <c r="B39"/>
      <c r="D39" s="111" t="s">
        <v>25</v>
      </c>
      <c r="E39" s="13"/>
      <c r="F39" s="34"/>
      <c r="G39" s="48">
        <f>1-$D$24</f>
        <v>0.97499999999999998</v>
      </c>
      <c r="H39" s="39"/>
      <c r="I39" s="29">
        <f>H40</f>
        <v>0.98727578510490877</v>
      </c>
      <c r="J39" s="29">
        <f>H41</f>
        <v>0.98727578510490877</v>
      </c>
      <c r="K39" s="29">
        <f>H42</f>
        <v>0.98727578510490877</v>
      </c>
      <c r="L39" s="36"/>
      <c r="M39" s="18">
        <f>IF(G39=0.5,PI()/2,IF(G39&lt;0.5,ACOS(SQRT(_xlfn.BETA.INV(1-2*G39,0.5,(1+M$26+$D$21-5-2)/2))),PI()-ACOS(SQRT(_xlfn.BETA.INV(1-2*(1-G39),0.5,(1+M$26+$D$21-5-2)/2)))))</f>
        <v>1.69472005176976</v>
      </c>
      <c r="N39" s="19"/>
      <c r="O39" s="19"/>
      <c r="P39" s="19"/>
      <c r="Q39" s="20"/>
      <c r="R39" s="6"/>
      <c r="S39" s="18">
        <f>COS(M39)</f>
        <v>-0.1236067838125564</v>
      </c>
      <c r="T39" s="19">
        <f>SIN(M39)</f>
        <v>0.99233127684030797</v>
      </c>
      <c r="U39" s="26">
        <v>0</v>
      </c>
      <c r="V39" s="26">
        <v>0</v>
      </c>
      <c r="W39" s="27">
        <v>0</v>
      </c>
      <c r="X39" s="42"/>
      <c r="Y39" s="28">
        <f>SUMPRODUCT($S39:$W39,$S$38:$W$38)</f>
        <v>-0.1236067838125564</v>
      </c>
      <c r="Z39" s="106">
        <f>SUMPRODUCT($S39:$W39,$S$39:$W$39)</f>
        <v>1</v>
      </c>
      <c r="AA39" s="28">
        <f>SUMPRODUCT($S39:$W39,$S$40:$W$40)</f>
        <v>-0.12360678381255623</v>
      </c>
      <c r="AB39" s="28">
        <f>SUMPRODUCT($S39:$W39,$S$41:$W$41)</f>
        <v>-0.12360678381255623</v>
      </c>
      <c r="AC39" s="28">
        <f>SUMPRODUCT($S39:$W39,$S$42:$W$42)</f>
        <v>-0.12360678381255623</v>
      </c>
      <c r="AD39" s="41"/>
      <c r="AE39"/>
      <c r="AF39" s="64">
        <f>IF($G$37="",LN(MAX(2*MIN(G39,1-G39),$AF$26))+LN(MAX(2*MIN(G40,1-G40),$AF$26))+LN(MAX(2*MIN(G41,1-G41),$AF$26))+LN(MAX(2*MIN(G42,1-G42),$AF$26))+LN(MAX(2*MIN(H40,1-H40),$AF$26))+LN(MAX(2*MIN(H41,1-H41),$AF$26))+LN(MAX(2*MIN(H42,1-H42),$AF$26))+LN(MAX(2*MIN(I41,1-I41),$AF$26))+LN(MAX(2*MIN(I42,1-I42),$AF$26))+LN(MAX(2*MIN(J42,1-J42),$AF$26)),"ERR")</f>
        <v>-38.649824191150486</v>
      </c>
      <c r="AG39" s="55"/>
      <c r="AH39" s="55"/>
      <c r="AK39"/>
      <c r="AL39" s="78"/>
      <c r="AM39" s="78"/>
      <c r="AN39" s="78"/>
      <c r="AO39" s="78"/>
      <c r="AP39"/>
      <c r="AQ39"/>
      <c r="AV39"/>
      <c r="AW39"/>
      <c r="AX39"/>
      <c r="AY39"/>
      <c r="AZ39"/>
    </row>
    <row r="40" spans="1:52" s="68" customFormat="1" ht="15.6" thickTop="1" thickBot="1" x14ac:dyDescent="0.35">
      <c r="A40"/>
      <c r="B40"/>
      <c r="D40" s="146">
        <f>1-G39^10</f>
        <v>0.22367037914356247</v>
      </c>
      <c r="E40" s="13"/>
      <c r="F40" s="34"/>
      <c r="G40" s="48">
        <f>G39</f>
        <v>0.97499999999999998</v>
      </c>
      <c r="H40" s="48">
        <f>Z80</f>
        <v>0.98727578510490877</v>
      </c>
      <c r="I40" s="39"/>
      <c r="J40" s="29">
        <f>I41</f>
        <v>0.99535074860668793</v>
      </c>
      <c r="K40" s="29">
        <f>I42</f>
        <v>0.99535074860668793</v>
      </c>
      <c r="L40" s="36"/>
      <c r="M40" s="18">
        <f>IF(G40=0.5,PI()/2,IF(G40&lt;0.5,ACOS(SQRT(_xlfn.BETA.INV(1-2*G40,0.5,(1+M$26+$D$21-5-2)/2))),PI()-ACOS(SQRT(_xlfn.BETA.INV(1-2*(1-G40),0.5,(1+M$26+$D$21-5-2)/2)))))</f>
        <v>1.69472005176976</v>
      </c>
      <c r="N40" s="19">
        <f>IF(H40=0.5,PI()/2,IF(H40&lt;0.5,ACOS(SQRT(_xlfn.BETA.INV(1-2*H40,0.5,(1+N$26+$D$21-5-2)/2))),PI()-ACOS(SQRT(_xlfn.BETA.INV(1-2*(1-H40),0.5,(1+N$26+$D$21-5-2)/2)))))</f>
        <v>1.7123084920361937</v>
      </c>
      <c r="O40" s="19"/>
      <c r="P40" s="19"/>
      <c r="Q40" s="20"/>
      <c r="R40" s="6"/>
      <c r="S40" s="18">
        <f>COS(M40)</f>
        <v>-0.1236067838125564</v>
      </c>
      <c r="T40" s="19">
        <f>COS(N40)*SIN(M40)</f>
        <v>-0.13995872553696659</v>
      </c>
      <c r="U40" s="19">
        <f>SIN(N40)*SIN(M40)</f>
        <v>0.98241178644272387</v>
      </c>
      <c r="V40" s="26">
        <v>0</v>
      </c>
      <c r="W40" s="27">
        <v>0</v>
      </c>
      <c r="X40" s="42"/>
      <c r="Y40" s="28">
        <f>SUMPRODUCT($S40:$W40,$S$38:$W$38)</f>
        <v>-0.1236067838125564</v>
      </c>
      <c r="Z40" s="28">
        <f>SUMPRODUCT($S40:$W40,$S$39:$W$39)</f>
        <v>-0.12360678381255623</v>
      </c>
      <c r="AA40" s="106">
        <f>SUMPRODUCT($S40:$W40,$S$40:$W$40)</f>
        <v>1</v>
      </c>
      <c r="AB40" s="28">
        <f>SUMPRODUCT($S40:$W40,$S$41:$W$41)</f>
        <v>-0.12360678381255616</v>
      </c>
      <c r="AC40" s="28">
        <f>SUMPRODUCT($S40:$W40,$S$42:$W$42)</f>
        <v>-0.12360678381255616</v>
      </c>
      <c r="AD40" s="41"/>
      <c r="AE40"/>
      <c r="AF40"/>
      <c r="AG40" s="55"/>
      <c r="AH40" s="55"/>
      <c r="AK40"/>
      <c r="AL40" s="78"/>
      <c r="AM40" s="78"/>
      <c r="AN40" s="78"/>
      <c r="AO40" s="78"/>
      <c r="AP40"/>
      <c r="AQ40"/>
      <c r="AV40"/>
      <c r="AW40"/>
      <c r="AX40"/>
      <c r="AY40"/>
      <c r="AZ40"/>
    </row>
    <row r="41" spans="1:52" s="68" customFormat="1" ht="15" thickTop="1" x14ac:dyDescent="0.3">
      <c r="A41"/>
      <c r="B41"/>
      <c r="E41" s="13"/>
      <c r="F41" s="34"/>
      <c r="G41" s="48">
        <f>G39</f>
        <v>0.97499999999999998</v>
      </c>
      <c r="H41" s="48">
        <f>Z81</f>
        <v>0.98727578510490877</v>
      </c>
      <c r="I41" s="48">
        <f>AA81</f>
        <v>0.99535074860668793</v>
      </c>
      <c r="J41" s="39"/>
      <c r="K41" s="29">
        <f>J42</f>
        <v>0.99907981406528901</v>
      </c>
      <c r="L41" s="36"/>
      <c r="M41" s="18">
        <f>IF(G41=0.5,PI()/2,IF(G41&lt;0.5,ACOS(SQRT(_xlfn.BETA.INV(1-2*G41,0.5,(1+M$26+$D$21-5-2)/2))),PI()-ACOS(SQRT(_xlfn.BETA.INV(1-2*(1-G41),0.5,(1+M$26+$D$21-5-2)/2)))))</f>
        <v>1.69472005176976</v>
      </c>
      <c r="N41" s="19">
        <f>IF(H41=0.5,PI()/2,IF(H41&lt;0.5,ACOS(SQRT(_xlfn.BETA.INV(1-2*H41,0.5,(1+N$26+$D$21-5-2)/2))),PI()-ACOS(SQRT(_xlfn.BETA.INV(1-2*(1-H41),0.5,(1+N$26+$D$21-5-2)/2)))))</f>
        <v>1.7123084920361937</v>
      </c>
      <c r="O41" s="19">
        <f>IF(I41=0.5,PI()/2,IF(I41&lt;0.5,ACOS(SQRT(_xlfn.BETA.INV(1-2*I41,0.5,(1+O$26+$D$21-5-2)/2))),PI()-ACOS(SQRT(_xlfn.BETA.INV(1-2*(1-I41),0.5,(1+O$26+$D$21-5-2)/2)))))</f>
        <v>1.7357422676817076</v>
      </c>
      <c r="P41" s="19"/>
      <c r="Q41" s="20"/>
      <c r="R41" s="6"/>
      <c r="S41" s="18">
        <f>COS(M41)</f>
        <v>-0.1236067838125564</v>
      </c>
      <c r="T41" s="19">
        <f>COS(N41)*SIN(M41)</f>
        <v>-0.13995872553696659</v>
      </c>
      <c r="U41" s="19">
        <f>COS(O41)*SIN(N41)*SIN(M41)</f>
        <v>-0.16131103866821475</v>
      </c>
      <c r="V41" s="19">
        <f>SIN(O41)*SIN(N41)*SIN(M41)</f>
        <v>0.96907774040340322</v>
      </c>
      <c r="W41" s="27">
        <v>0</v>
      </c>
      <c r="X41" s="42"/>
      <c r="Y41" s="28">
        <f>SUMPRODUCT($S41:$W41,$S$38:$W$38)</f>
        <v>-0.1236067838125564</v>
      </c>
      <c r="Z41" s="28">
        <f>SUMPRODUCT($S41:$W41,$S$39:$W$39)</f>
        <v>-0.12360678381255623</v>
      </c>
      <c r="AA41" s="28">
        <f>SUMPRODUCT($S41:$W41,$S$40:$W$40)</f>
        <v>-0.12360678381255616</v>
      </c>
      <c r="AB41" s="106">
        <f>SUMPRODUCT($S41:$W41,$S$41:$W$41)</f>
        <v>1</v>
      </c>
      <c r="AC41" s="28">
        <f>SUMPRODUCT($S41:$W41,$S$42:$W$42)</f>
        <v>-0.12360678381255684</v>
      </c>
      <c r="AD41" s="41"/>
      <c r="AE41" s="82"/>
      <c r="AF41" s="85"/>
      <c r="AG41"/>
      <c r="AH41" s="55"/>
      <c r="AK41"/>
      <c r="AL41" s="78"/>
      <c r="AM41" s="78"/>
      <c r="AN41" s="78"/>
      <c r="AO41" s="78"/>
      <c r="AP41"/>
      <c r="AQ41"/>
      <c r="AV41"/>
      <c r="AW41"/>
      <c r="AX41"/>
      <c r="AY41"/>
      <c r="AZ41"/>
    </row>
    <row r="42" spans="1:52" s="68" customFormat="1" ht="15" thickBot="1" x14ac:dyDescent="0.35">
      <c r="A42"/>
      <c r="B42"/>
      <c r="E42" s="13"/>
      <c r="F42" s="34"/>
      <c r="G42" s="48">
        <f>G39</f>
        <v>0.97499999999999998</v>
      </c>
      <c r="H42" s="48">
        <f>Z82</f>
        <v>0.98727578510490877</v>
      </c>
      <c r="I42" s="48">
        <f>AA82</f>
        <v>0.99535074860668793</v>
      </c>
      <c r="J42" s="48">
        <f>AB82</f>
        <v>0.99907981406528901</v>
      </c>
      <c r="K42" s="39"/>
      <c r="L42" s="36"/>
      <c r="M42" s="21">
        <f>IF(G42=0.5,PI()/2,IF(G42&lt;0.5,ACOS(SQRT(_xlfn.BETA.INV(1-2*G42,0.5,(1+M$26+$D$21-5-2)/2))),PI()-ACOS(SQRT(_xlfn.BETA.INV(1-2*(1-G42),0.5,(1+M$26+$D$21-5-2)/2)))))</f>
        <v>1.69472005176976</v>
      </c>
      <c r="N42" s="22">
        <f>IF(H42=0.5,PI()/2,IF(H42&lt;0.5,ACOS(SQRT(_xlfn.BETA.INV(1-2*H42,0.5,(1+N$26+$D$21-5-2)/2))),PI()-ACOS(SQRT(_xlfn.BETA.INV(1-2*(1-H42),0.5,(1+N$26+$D$21-5-2)/2)))))</f>
        <v>1.7123084920361937</v>
      </c>
      <c r="O42" s="22">
        <f>IF(I42=0.5,PI()/2,IF(I42&lt;0.5,ACOS(SQRT(_xlfn.BETA.INV(1-2*I42,0.5,(1+O$26+$D$21-5-2)/2))),PI()-ACOS(SQRT(_xlfn.BETA.INV(1-2*(1-I42),0.5,(1+O$26+$D$21-5-2)/2)))))</f>
        <v>1.7357422676817076</v>
      </c>
      <c r="P42" s="22">
        <f>IF(J42=0.5,PI()/2,IF(J42&lt;0.5,ACOS(SQRT(_xlfn.BETA.INV(1-2*J42,0.5,(1+P$26+$D$21-5-2)/2))),PI()-ACOS(SQRT(_xlfn.BETA.INV(1-2*(1-J42),0.5,(1+P$26+$D$21-5-2)/2)))))</f>
        <v>1.7685395749925348</v>
      </c>
      <c r="Q42" s="23"/>
      <c r="R42" s="6"/>
      <c r="S42" s="21">
        <f>COS(M42)</f>
        <v>-0.1236067838125564</v>
      </c>
      <c r="T42" s="22">
        <f>COS(N42)*SIN(M42)</f>
        <v>-0.13995872553696659</v>
      </c>
      <c r="U42" s="22">
        <f>COS(O42)*SIN(N42)*SIN(M42)</f>
        <v>-0.16131103866821475</v>
      </c>
      <c r="V42" s="22">
        <f>COS(P42)*SIN(O42)*SIN(N42)*SIN(M42)</f>
        <v>-0.19038216355107934</v>
      </c>
      <c r="W42" s="23">
        <f>SIN(P42)*SIN(O42)*SIN(N42)*SIN(M42)</f>
        <v>0.95019276925631035</v>
      </c>
      <c r="X42" s="42"/>
      <c r="Y42" s="28">
        <f>SUMPRODUCT($S42:$W42,$S$38:$W$38)</f>
        <v>-0.1236067838125564</v>
      </c>
      <c r="Z42" s="28">
        <f>SUMPRODUCT($S42:$W42,$S$39:$W$39)</f>
        <v>-0.12360678381255623</v>
      </c>
      <c r="AA42" s="28">
        <f>SUMPRODUCT($S42:$W42,$S$40:$W$40)</f>
        <v>-0.12360678381255616</v>
      </c>
      <c r="AB42" s="28">
        <f>SUMPRODUCT($S42:$W42,$S$41:$W$41)</f>
        <v>-0.12360678381255684</v>
      </c>
      <c r="AC42" s="106">
        <f>SUMPRODUCT($S42:$W42,$S$42:$W$42)</f>
        <v>1</v>
      </c>
      <c r="AD42" s="41"/>
      <c r="AE42" s="82"/>
      <c r="AF42" s="85"/>
      <c r="AG42" s="11"/>
      <c r="AH42" s="55"/>
      <c r="AK42"/>
      <c r="AL42" s="78"/>
      <c r="AM42" s="78"/>
      <c r="AN42" s="78"/>
      <c r="AO42" s="78"/>
      <c r="AP42"/>
      <c r="AQ42"/>
      <c r="AV42"/>
      <c r="AW42"/>
      <c r="AX42"/>
      <c r="AY42"/>
      <c r="AZ42"/>
    </row>
    <row r="43" spans="1:52" ht="15" thickTop="1" x14ac:dyDescent="0.3">
      <c r="G43" s="98" t="s">
        <v>60</v>
      </c>
      <c r="H43" s="86"/>
      <c r="I43" s="86"/>
      <c r="J43" s="99"/>
      <c r="K43" s="86"/>
      <c r="L43" s="14"/>
      <c r="M43" s="6"/>
      <c r="N43" s="6"/>
      <c r="O43" s="6"/>
      <c r="P43" s="6"/>
      <c r="X43" s="14"/>
      <c r="Y43" s="98" t="s">
        <v>60</v>
      </c>
      <c r="Z43" s="100"/>
      <c r="AA43" s="100"/>
      <c r="AB43" s="100"/>
      <c r="AC43" s="86"/>
      <c r="AE43" s="82"/>
      <c r="AF43" s="85"/>
      <c r="AG43" s="56"/>
      <c r="AH43" s="55"/>
    </row>
    <row r="44" spans="1:52" x14ac:dyDescent="0.3">
      <c r="G44" s="43"/>
      <c r="H44" s="43"/>
      <c r="I44" s="43"/>
      <c r="J44" s="57"/>
      <c r="K44" s="43"/>
      <c r="L44" s="14"/>
      <c r="M44" s="6"/>
      <c r="N44" s="6"/>
      <c r="O44" s="6"/>
      <c r="P44" s="6"/>
      <c r="X44" s="14"/>
      <c r="Y44" s="19"/>
      <c r="Z44" s="19"/>
      <c r="AA44" s="19"/>
      <c r="AB44" s="19"/>
      <c r="AC44" s="43"/>
      <c r="AE44" s="82"/>
      <c r="AF44" s="85"/>
      <c r="AG44" s="56"/>
      <c r="AH44" s="55"/>
    </row>
    <row r="45" spans="1:52" x14ac:dyDescent="0.3">
      <c r="G45" s="43"/>
      <c r="H45" s="43"/>
      <c r="I45" s="43"/>
      <c r="J45" s="57"/>
      <c r="K45" s="43"/>
      <c r="L45" s="14"/>
      <c r="M45" s="6"/>
      <c r="N45" s="6"/>
      <c r="O45" s="6"/>
      <c r="P45" s="6"/>
      <c r="X45" s="14"/>
      <c r="Y45" s="19"/>
      <c r="Z45" s="19"/>
      <c r="AA45" s="19"/>
      <c r="AB45" s="19"/>
      <c r="AC45" s="43"/>
      <c r="AE45" s="82"/>
      <c r="AF45" s="85"/>
      <c r="AG45" s="56"/>
      <c r="AH45" s="55"/>
    </row>
    <row r="46" spans="1:52" x14ac:dyDescent="0.3">
      <c r="C46" s="91"/>
      <c r="D46" s="90"/>
      <c r="G46" s="49" t="s">
        <v>55</v>
      </c>
      <c r="H46" s="43"/>
      <c r="I46" s="43"/>
      <c r="J46" s="43"/>
      <c r="K46" s="43"/>
      <c r="Y46" s="43"/>
      <c r="Z46" s="43"/>
      <c r="AA46" s="43"/>
      <c r="AB46" s="43"/>
      <c r="AC46" s="43"/>
      <c r="AE46" s="82"/>
      <c r="AF46" s="83"/>
      <c r="AH46" s="55"/>
      <c r="AL46" s="70"/>
      <c r="AM46" s="76"/>
      <c r="AO46" s="71"/>
    </row>
    <row r="47" spans="1:52" x14ac:dyDescent="0.3">
      <c r="C47" s="91"/>
      <c r="D47" s="90"/>
      <c r="G47" s="49" t="s">
        <v>26</v>
      </c>
      <c r="H47" s="43"/>
      <c r="I47" s="43"/>
      <c r="J47" s="43"/>
      <c r="K47" s="43"/>
      <c r="M47" s="2" t="s">
        <v>3</v>
      </c>
      <c r="S47" s="2" t="s">
        <v>0</v>
      </c>
      <c r="Y47" s="49" t="s">
        <v>9</v>
      </c>
      <c r="Z47" s="43"/>
      <c r="AA47" s="43"/>
      <c r="AB47" s="43"/>
      <c r="AC47" s="43"/>
      <c r="AE47" s="82"/>
      <c r="AF47" s="83"/>
      <c r="AH47" s="55"/>
      <c r="AL47" s="70"/>
      <c r="AM47" s="74"/>
      <c r="AO47" s="71"/>
    </row>
    <row r="48" spans="1:52" ht="15" thickBot="1" x14ac:dyDescent="0.35">
      <c r="C48" s="91"/>
      <c r="D48" s="90"/>
      <c r="G48" s="97" t="str">
        <f>IF(NOT(Y88=""),"ALL CELLS MUST BE 1E-16&lt;#&lt;[1.0 - 1E-16].",IF(NOT(Y48=""),"MATRIX MUST BE POSITIVE DEFINITE",IF(OR(NOT(AND($AF$26&lt;G50,G50&lt;(1-$AF$26))),NOT(AND($AF$26&lt;G51,G51&lt;(1-$AF$26))),NOT(AND($AF$26&lt;G52,G52&lt;(1-$AF$26))),NOT(AND($AF$26&lt;G53,G53&lt;(1-$AF$26))),NOT(AND($AF$26&lt;H51,H51&lt;(1-$AF$26))),NOT(AND($AF$26&lt;H52,H52&lt;(1-$AF$26))),NOT(AND($AF$26&lt;H53,H53&lt;(1-$AF$26))),NOT(AND($AF$26&lt;I52,I52&lt;(1-$AF$26))),NOT(AND($AF$26&lt;I53,I53&lt;(1-$AF$26))),NOT(AND($AF$26&lt;J53,J53&lt;(1-$AF$26)))),"ALL CELLS MUST BE 1E-16&lt;#&lt;[1.0 - 1E-16].","")))</f>
        <v/>
      </c>
      <c r="H48" s="87"/>
      <c r="I48" s="87"/>
      <c r="J48" s="87"/>
      <c r="K48" s="87"/>
      <c r="Y48" s="37" t="str">
        <f>IF(NOT(ISNUMBER(S49*S50*S51*S52*S53*T50*T51*T52*T53*U51*U52*U53*V52*V53*W53)),"MATRIX MUST BE POSITIVE DEFINITE","")</f>
        <v/>
      </c>
      <c r="Z48" s="87"/>
      <c r="AA48" s="87"/>
      <c r="AB48" s="87"/>
      <c r="AC48" s="87"/>
      <c r="AE48" s="55"/>
      <c r="AF48" s="60" t="s">
        <v>13</v>
      </c>
      <c r="AG48" s="55"/>
      <c r="AH48" s="55"/>
    </row>
    <row r="49" spans="3:41" ht="15.6" thickTop="1" thickBot="1" x14ac:dyDescent="0.35">
      <c r="C49" s="91"/>
      <c r="D49" s="96" t="s">
        <v>24</v>
      </c>
      <c r="F49" s="34"/>
      <c r="G49" s="39"/>
      <c r="H49" s="29">
        <f>G50</f>
        <v>2.528578544461757E-3</v>
      </c>
      <c r="I49" s="29">
        <f>G51</f>
        <v>2.528578544461757E-3</v>
      </c>
      <c r="J49" s="29">
        <f>G52</f>
        <v>2.528578544461757E-3</v>
      </c>
      <c r="K49" s="29">
        <f>G53</f>
        <v>2.528578544461757E-3</v>
      </c>
      <c r="L49" s="36"/>
      <c r="M49" s="15"/>
      <c r="N49" s="16"/>
      <c r="O49" s="16"/>
      <c r="P49" s="16"/>
      <c r="Q49" s="17"/>
      <c r="R49" s="6"/>
      <c r="S49" s="15">
        <v>1</v>
      </c>
      <c r="T49" s="24">
        <v>0</v>
      </c>
      <c r="U49" s="24">
        <v>0</v>
      </c>
      <c r="V49" s="24">
        <v>0</v>
      </c>
      <c r="W49" s="25">
        <v>0</v>
      </c>
      <c r="X49" s="42"/>
      <c r="Y49" s="106">
        <f>SUMPRODUCT($S49:$W49,$S$49:$W$49)</f>
        <v>1</v>
      </c>
      <c r="Z49" s="28">
        <f>SUMPRODUCT($S49:$W49,$S$50:$W$50)</f>
        <v>0.17608919313381383</v>
      </c>
      <c r="AA49" s="28">
        <f>SUMPRODUCT($S49:$W49,$S$51:$W$51)</f>
        <v>0.17608919313381383</v>
      </c>
      <c r="AB49" s="28">
        <f>SUMPRODUCT($S49:$W49,$S$52:$W$52)</f>
        <v>0.17608919313381383</v>
      </c>
      <c r="AC49" s="28">
        <f>SUMPRODUCT($S49:$W49,$S$53:$W$53)</f>
        <v>0.17608919313381383</v>
      </c>
      <c r="AD49" s="41"/>
      <c r="AE49" s="55"/>
      <c r="AF49" s="2" t="s">
        <v>11</v>
      </c>
      <c r="AG49" s="55"/>
      <c r="AH49" s="55"/>
    </row>
    <row r="50" spans="3:41" ht="15.6" thickTop="1" thickBot="1" x14ac:dyDescent="0.35">
      <c r="C50" s="91"/>
      <c r="D50" s="111" t="s">
        <v>25</v>
      </c>
      <c r="F50" s="34"/>
      <c r="G50" s="48">
        <f>1-$D$25^(1/10)</f>
        <v>2.528578544461757E-3</v>
      </c>
      <c r="H50" s="39"/>
      <c r="I50" s="29">
        <f>H51</f>
        <v>8.806982923035056E-3</v>
      </c>
      <c r="J50" s="29">
        <f>H52</f>
        <v>8.806982923035056E-3</v>
      </c>
      <c r="K50" s="29">
        <f>H53</f>
        <v>8.806982923035056E-3</v>
      </c>
      <c r="L50" s="36"/>
      <c r="M50" s="18">
        <f>IF(G50=0.5,PI()/2,IF(G50&lt;0.5,ACOS(SQRT(_xlfn.BETA.INV(1-2*G50,0.5,(1+M$26+$D$21-5-2)/2))),PI()-ACOS(SQRT(_xlfn.BETA.INV(1-2*(1-G50),0.5,(1+M$26+$D$21-5-2)/2)))))</f>
        <v>1.3937841850927182</v>
      </c>
      <c r="N50" s="19"/>
      <c r="O50" s="19"/>
      <c r="P50" s="19"/>
      <c r="Q50" s="20"/>
      <c r="R50" s="6"/>
      <c r="S50" s="18">
        <f>COS(M50)</f>
        <v>0.17608919313381383</v>
      </c>
      <c r="T50" s="19">
        <f>SIN(M50)</f>
        <v>0.984374215459488</v>
      </c>
      <c r="U50" s="26">
        <v>0</v>
      </c>
      <c r="V50" s="26">
        <v>0</v>
      </c>
      <c r="W50" s="27">
        <v>0</v>
      </c>
      <c r="X50" s="42"/>
      <c r="Y50" s="28">
        <f t="shared" ref="Y50:Y53" si="2">SUMPRODUCT($S50:$W50,$S$49:$W$49)</f>
        <v>0.17608919313381383</v>
      </c>
      <c r="Z50" s="106">
        <f t="shared" ref="Z50:Z53" si="3">SUMPRODUCT($S50:$W50,$S$50:$W$50)</f>
        <v>1</v>
      </c>
      <c r="AA50" s="28">
        <f t="shared" ref="AA50:AA53" si="4">SUMPRODUCT($S50:$W50,$S$51:$W$51)</f>
        <v>0.17608919313381391</v>
      </c>
      <c r="AB50" s="28">
        <f t="shared" ref="AB50:AB53" si="5">SUMPRODUCT($S50:$W50,$S$52:$W$52)</f>
        <v>0.17608919313381391</v>
      </c>
      <c r="AC50" s="28">
        <f t="shared" ref="AC50:AC53" si="6">SUMPRODUCT($S50:$W50,$S$53:$W$53)</f>
        <v>0.17608919313381391</v>
      </c>
      <c r="AD50" s="41"/>
      <c r="AF50" s="64">
        <f>IF($G$48="",LN(MAX(2*MIN(G50,1-G50),$AF$26))+LN(MAX(2*MIN(G51,1-G51),$AF$26))+LN(MAX(2*MIN(G52,1-G52),$AF$26))+LN(MAX(2*MIN(G53,1-G53),$AF$26))+LN(MAX(2*MIN(H51,1-H51),$AF$26))+LN(MAX(2*MIN(H52,1-H52),$AF$26))+LN(MAX(2*MIN(H53,1-H53),$AF$26))+LN(MAX(2*MIN(I52,1-I52),$AF$26))+LN(MAX(2*MIN(I53,1-I53),$AF$26))+LN(MAX(2*MIN(J53,1-J53),$AF$26)),"ERR")</f>
        <v>-42.387192305752265</v>
      </c>
      <c r="AG50" s="55"/>
      <c r="AH50" s="55"/>
      <c r="AL50" s="77"/>
      <c r="AM50" s="77"/>
      <c r="AN50" s="77"/>
      <c r="AO50" s="77"/>
    </row>
    <row r="51" spans="3:41" ht="15.6" thickTop="1" thickBot="1" x14ac:dyDescent="0.35">
      <c r="C51" s="91"/>
      <c r="D51" s="146">
        <f>1-(1-G50)^10</f>
        <v>2.4999999999999578E-2</v>
      </c>
      <c r="F51" s="34"/>
      <c r="G51" s="48">
        <f>G50</f>
        <v>2.528578544461757E-3</v>
      </c>
      <c r="H51" s="48">
        <f>Z91</f>
        <v>8.806982923035056E-3</v>
      </c>
      <c r="I51" s="39"/>
      <c r="J51" s="29">
        <f>I52</f>
        <v>1.9818628396926052E-2</v>
      </c>
      <c r="K51" s="29">
        <f>I53</f>
        <v>1.9818628396926052E-2</v>
      </c>
      <c r="L51" s="36"/>
      <c r="M51" s="18">
        <f>IF(G51=0.5,PI()/2,IF(G51&lt;0.5,ACOS(SQRT(_xlfn.BETA.INV(1-2*G51,0.5,(1+M$26+$D$21-5-2)/2))),PI()-ACOS(SQRT(_xlfn.BETA.INV(1-2*(1-G51),0.5,(1+M$26+$D$21-5-2)/2)))))</f>
        <v>1.3937841850927182</v>
      </c>
      <c r="N51" s="19">
        <f>IF(H51=0.5,PI()/2,IF(H51&lt;0.5,ACOS(SQRT(_xlfn.BETA.INV(1-2*H51,0.5,(1+N$26+$D$21-5-2)/2))),PI()-ACOS(SQRT(_xlfn.BETA.INV(1-2*(1-H51),0.5,(1+N$26+$D$21-5-2)/2)))))</f>
        <v>1.4205068498105509</v>
      </c>
      <c r="O51" s="19"/>
      <c r="P51" s="19"/>
      <c r="Q51" s="20"/>
      <c r="R51" s="6"/>
      <c r="S51" s="18">
        <f>COS(M51)</f>
        <v>0.17608919313381383</v>
      </c>
      <c r="T51" s="19">
        <f>COS(N51)*SIN(M51)</f>
        <v>0.14738479220280551</v>
      </c>
      <c r="U51" s="19">
        <f>SIN(N51)*SIN(M51)</f>
        <v>0.97327813038659117</v>
      </c>
      <c r="V51" s="26">
        <v>0</v>
      </c>
      <c r="W51" s="27">
        <v>0</v>
      </c>
      <c r="X51" s="42"/>
      <c r="Y51" s="28">
        <f t="shared" si="2"/>
        <v>0.17608919313381383</v>
      </c>
      <c r="Z51" s="28">
        <f t="shared" si="3"/>
        <v>0.17608919313381391</v>
      </c>
      <c r="AA51" s="106">
        <f t="shared" si="4"/>
        <v>1</v>
      </c>
      <c r="AB51" s="28">
        <f t="shared" si="5"/>
        <v>0.17608919313381394</v>
      </c>
      <c r="AC51" s="28">
        <f t="shared" si="6"/>
        <v>0.17608919313381394</v>
      </c>
      <c r="AD51" s="41"/>
      <c r="AG51" s="55"/>
      <c r="AH51" s="55"/>
      <c r="AL51" s="77"/>
      <c r="AM51" s="77"/>
      <c r="AN51" s="77"/>
      <c r="AO51" s="77"/>
    </row>
    <row r="52" spans="3:41" ht="15" thickTop="1" x14ac:dyDescent="0.3">
      <c r="C52" s="91"/>
      <c r="D52" s="90"/>
      <c r="F52" s="34"/>
      <c r="G52" s="48">
        <f>G50</f>
        <v>2.528578544461757E-3</v>
      </c>
      <c r="H52" s="48">
        <f>Z92</f>
        <v>8.806982923035056E-3</v>
      </c>
      <c r="I52" s="48">
        <f>AA92</f>
        <v>1.9818628396926052E-2</v>
      </c>
      <c r="J52" s="39"/>
      <c r="K52" s="29">
        <f>J53</f>
        <v>3.4756967314045761E-2</v>
      </c>
      <c r="L52" s="36"/>
      <c r="M52" s="18">
        <f>IF(G52=0.5,PI()/2,IF(G52&lt;0.5,ACOS(SQRT(_xlfn.BETA.INV(1-2*G52,0.5,(1+M$26+$D$21-5-2)/2))),PI()-ACOS(SQRT(_xlfn.BETA.INV(1-2*(1-G52),0.5,(1+M$26+$D$21-5-2)/2)))))</f>
        <v>1.3937841850927182</v>
      </c>
      <c r="N52" s="19">
        <f>IF(H52=0.5,PI()/2,IF(H52&lt;0.5,ACOS(SQRT(_xlfn.BETA.INV(1-2*H52,0.5,(1+N$26+$D$21-5-2)/2))),PI()-ACOS(SQRT(_xlfn.BETA.INV(1-2*(1-H52),0.5,(1+N$26+$D$21-5-2)/2)))))</f>
        <v>1.4205068498105509</v>
      </c>
      <c r="O52" s="19">
        <f>IF(I52=0.5,PI()/2,IF(I52&lt;0.5,ACOS(SQRT(_xlfn.BETA.INV(1-2*I52,0.5,(1+O$26+$D$21-5-2)/2))),PI()-ACOS(SQRT(_xlfn.BETA.INV(1-2*(1-I52),0.5,(1+O$26+$D$21-5-2)/2)))))</f>
        <v>1.4401991031632968</v>
      </c>
      <c r="P52" s="19"/>
      <c r="Q52" s="20"/>
      <c r="R52" s="6"/>
      <c r="S52" s="18">
        <f>COS(M52)</f>
        <v>0.17608919313381383</v>
      </c>
      <c r="T52" s="19">
        <f>COS(N52)*SIN(M52)</f>
        <v>0.14738479220280551</v>
      </c>
      <c r="U52" s="19">
        <f>COS(O52)*SIN(N52)*SIN(M52)</f>
        <v>0.12674641335425171</v>
      </c>
      <c r="V52" s="19">
        <f>SIN(O52)*SIN(N52)*SIN(M52)</f>
        <v>0.96498998222295107</v>
      </c>
      <c r="W52" s="27">
        <v>0</v>
      </c>
      <c r="X52" s="42"/>
      <c r="Y52" s="28">
        <f t="shared" si="2"/>
        <v>0.17608919313381383</v>
      </c>
      <c r="Z52" s="28">
        <f t="shared" si="3"/>
        <v>0.17608919313381391</v>
      </c>
      <c r="AA52" s="28">
        <f t="shared" si="4"/>
        <v>0.17608919313381394</v>
      </c>
      <c r="AB52" s="106">
        <f t="shared" si="5"/>
        <v>1</v>
      </c>
      <c r="AC52" s="28">
        <f t="shared" si="6"/>
        <v>0.17608919313381391</v>
      </c>
      <c r="AD52" s="41"/>
      <c r="AE52" s="82"/>
      <c r="AF52" s="83"/>
      <c r="AH52" s="55"/>
      <c r="AL52" s="77"/>
      <c r="AM52" s="77"/>
      <c r="AN52" s="77"/>
      <c r="AO52" s="77"/>
    </row>
    <row r="53" spans="3:41" ht="15" thickBot="1" x14ac:dyDescent="0.35">
      <c r="C53" s="91"/>
      <c r="D53" s="90"/>
      <c r="F53" s="34"/>
      <c r="G53" s="48">
        <f>G50</f>
        <v>2.528578544461757E-3</v>
      </c>
      <c r="H53" s="48">
        <f>Z93</f>
        <v>8.806982923035056E-3</v>
      </c>
      <c r="I53" s="48">
        <f>AA93</f>
        <v>1.9818628396926052E-2</v>
      </c>
      <c r="J53" s="48">
        <f>AB93</f>
        <v>3.4756967314045761E-2</v>
      </c>
      <c r="K53" s="39"/>
      <c r="L53" s="36"/>
      <c r="M53" s="21">
        <f>IF(G53=0.5,PI()/2,IF(G53&lt;0.5,ACOS(SQRT(_xlfn.BETA.INV(1-2*G53,0.5,(1+M$26+$D$21-5-2)/2))),PI()-ACOS(SQRT(_xlfn.BETA.INV(1-2*(1-G53),0.5,(1+M$26+$D$21-5-2)/2)))))</f>
        <v>1.3937841850927182</v>
      </c>
      <c r="N53" s="22">
        <f>IF(H53=0.5,PI()/2,IF(H53&lt;0.5,ACOS(SQRT(_xlfn.BETA.INV(1-2*H53,0.5,(1+N$26+$D$21-5-2)/2))),PI()-ACOS(SQRT(_xlfn.BETA.INV(1-2*(1-H53),0.5,(1+N$26+$D$21-5-2)/2)))))</f>
        <v>1.4205068498105509</v>
      </c>
      <c r="O53" s="22">
        <f>IF(I53=0.5,PI()/2,IF(I53&lt;0.5,ACOS(SQRT(_xlfn.BETA.INV(1-2*I53,0.5,(1+O$26+$D$21-5-2)/2))),PI()-ACOS(SQRT(_xlfn.BETA.INV(1-2*(1-I53),0.5,(1+O$26+$D$21-5-2)/2)))))</f>
        <v>1.4401991031632968</v>
      </c>
      <c r="P53" s="22">
        <f>IF(J53=0.5,PI()/2,IF(J53&lt;0.5,ACOS(SQRT(_xlfn.BETA.INV(1-2*J53,0.5,(1+P$26+$D$21-5-2)/2))),PI()-ACOS(SQRT(_xlfn.BETA.INV(1-2*(1-J53),0.5,(1+P$26+$D$21-5-2)/2)))))</f>
        <v>1.4553184040200424</v>
      </c>
      <c r="Q53" s="23"/>
      <c r="R53" s="6"/>
      <c r="S53" s="21">
        <f>COS(M53)</f>
        <v>0.17608919313381383</v>
      </c>
      <c r="T53" s="22">
        <f>COS(N53)*SIN(M53)</f>
        <v>0.14738479220280551</v>
      </c>
      <c r="U53" s="22">
        <f>COS(O53)*SIN(N53)*SIN(M53)</f>
        <v>0.12674641335425171</v>
      </c>
      <c r="V53" s="22">
        <f>COS(P53)*SIN(O53)*SIN(N53)*SIN(M53)</f>
        <v>0.11118753655587271</v>
      </c>
      <c r="W53" s="23">
        <f>SIN(P53)*SIN(O53)*SIN(N53)*SIN(M53)</f>
        <v>0.95856298567453968</v>
      </c>
      <c r="X53" s="42"/>
      <c r="Y53" s="28">
        <f t="shared" si="2"/>
        <v>0.17608919313381383</v>
      </c>
      <c r="Z53" s="28">
        <f t="shared" si="3"/>
        <v>0.17608919313381391</v>
      </c>
      <c r="AA53" s="28">
        <f t="shared" si="4"/>
        <v>0.17608919313381394</v>
      </c>
      <c r="AB53" s="28">
        <f t="shared" si="5"/>
        <v>0.17608919313381391</v>
      </c>
      <c r="AC53" s="106">
        <f t="shared" si="6"/>
        <v>0.99999999999999989</v>
      </c>
      <c r="AD53" s="41"/>
      <c r="AE53" s="82"/>
      <c r="AF53" s="83"/>
      <c r="AG53" s="59"/>
      <c r="AH53" s="55"/>
      <c r="AL53" s="77"/>
      <c r="AM53" s="77"/>
      <c r="AN53" s="77"/>
      <c r="AO53" s="77"/>
    </row>
    <row r="54" spans="3:41" ht="15" thickTop="1" x14ac:dyDescent="0.3">
      <c r="C54" s="91"/>
      <c r="D54" s="90"/>
      <c r="G54" s="86"/>
      <c r="H54" s="86"/>
      <c r="I54" s="86"/>
      <c r="J54" s="86"/>
      <c r="K54" s="86"/>
      <c r="Y54" s="86"/>
      <c r="Z54" s="86"/>
      <c r="AA54" s="86"/>
      <c r="AB54" s="86"/>
      <c r="AC54" s="86"/>
      <c r="AE54" s="82"/>
      <c r="AF54" s="83"/>
      <c r="AH54" s="55"/>
    </row>
    <row r="55" spans="3:41" x14ac:dyDescent="0.3">
      <c r="C55" s="91"/>
      <c r="D55" s="90"/>
      <c r="G55" s="49" t="s">
        <v>27</v>
      </c>
      <c r="H55" s="43"/>
      <c r="I55" s="43"/>
      <c r="J55" s="43"/>
      <c r="K55" s="43"/>
      <c r="M55" s="2" t="s">
        <v>3</v>
      </c>
      <c r="S55" s="2" t="s">
        <v>0</v>
      </c>
      <c r="Y55" s="49" t="s">
        <v>10</v>
      </c>
      <c r="Z55" s="43"/>
      <c r="AA55" s="43"/>
      <c r="AB55" s="43"/>
      <c r="AC55" s="43"/>
      <c r="AE55" s="82"/>
      <c r="AF55" s="83"/>
      <c r="AH55" s="55"/>
    </row>
    <row r="56" spans="3:41" ht="15" thickBot="1" x14ac:dyDescent="0.35">
      <c r="C56" s="91"/>
      <c r="D56" s="90"/>
      <c r="G56" s="97" t="str">
        <f>IF(NOT(Y97=""),"ALL CELLS MUST BE 1E-16&lt;#&lt;[1.0 - 1E-16].",IF(NOT(Y56=""),"MATRIX MUST BE POSITIVE DEFINITE",IF(OR(NOT(AND($AF$26&lt;G58,G58&lt;(1-$AF$26))),NOT(AND($AF$26&lt;G59,G59&lt;(1-$AF$26))),NOT(AND($AF$26&lt;G60,G60&lt;(1-$AF$26))),NOT(AND($AF$26&lt;G61,G61&lt;(1-$AF$26))),NOT(AND($AF$26&lt;H59,H59&lt;(1-$AF$26))),NOT(AND($AF$26&lt;H60,H60&lt;(1-$AF$26))),NOT(AND($AF$26&lt;H61,H61&lt;(1-$AF$26))),NOT(AND($AF$26&lt;I60,I60&lt;(1-$AF$26))),NOT(AND($AF$26&lt;I61,I61&lt;(1-$AF$26))),NOT(AND($AF$26&lt;J61,J61&lt;(1-$AF$26)))),"ALL CELLS MUST BE 1E-16&lt;#&lt;[1.0 - 1E-16].","")))</f>
        <v/>
      </c>
      <c r="H56" s="87"/>
      <c r="I56" s="87"/>
      <c r="J56" s="87"/>
      <c r="K56" s="87"/>
      <c r="Y56" s="37" t="str">
        <f>IF(NOT(ISNUMBER(S57*S58*S59*S60*S61*T58*T59*T60*T61*U59*U60*U61*V60*V61*W61)),"MATRIX MUST BE POSITIVE DEFINITE","")</f>
        <v/>
      </c>
      <c r="Z56" s="87"/>
      <c r="AA56" s="87"/>
      <c r="AB56" s="87"/>
      <c r="AC56" s="87"/>
      <c r="AE56" s="55"/>
      <c r="AF56" s="60" t="s">
        <v>13</v>
      </c>
      <c r="AG56" s="55"/>
      <c r="AH56" s="55"/>
    </row>
    <row r="57" spans="3:41" ht="15.6" thickTop="1" thickBot="1" x14ac:dyDescent="0.35">
      <c r="C57" s="91"/>
      <c r="D57" s="96" t="s">
        <v>24</v>
      </c>
      <c r="F57" s="34"/>
      <c r="G57" s="39"/>
      <c r="H57" s="29">
        <f>G58</f>
        <v>0.99747142145553824</v>
      </c>
      <c r="I57" s="29">
        <f>G59</f>
        <v>0.99747142145553824</v>
      </c>
      <c r="J57" s="29">
        <f>G60</f>
        <v>0.99747142145553824</v>
      </c>
      <c r="K57" s="29">
        <f>G61</f>
        <v>0.99747142145553824</v>
      </c>
      <c r="L57" s="36"/>
      <c r="M57" s="15"/>
      <c r="N57" s="16"/>
      <c r="O57" s="16"/>
      <c r="P57" s="16"/>
      <c r="Q57" s="17"/>
      <c r="R57" s="6"/>
      <c r="S57" s="15">
        <v>1</v>
      </c>
      <c r="T57" s="24">
        <v>0</v>
      </c>
      <c r="U57" s="24">
        <v>0</v>
      </c>
      <c r="V57" s="24">
        <v>0</v>
      </c>
      <c r="W57" s="25">
        <v>0</v>
      </c>
      <c r="X57" s="42"/>
      <c r="Y57" s="106">
        <f>SUMPRODUCT($S57:$W57,$S$57:$W$57)</f>
        <v>1</v>
      </c>
      <c r="Z57" s="28">
        <f>SUMPRODUCT($S57:$W57,$S$58:$W$58)</f>
        <v>-0.17608919313381369</v>
      </c>
      <c r="AA57" s="28">
        <f>SUMPRODUCT($S57:$W57,$S$59:$W$59)</f>
        <v>-0.17608919313381369</v>
      </c>
      <c r="AB57" s="28">
        <f>SUMPRODUCT($S57:$W57,$S$60:$W$60)</f>
        <v>-0.17608919313381369</v>
      </c>
      <c r="AC57" s="28">
        <f>SUMPRODUCT($S57:$W57,$S$61:$W$61)</f>
        <v>-0.17608919313381369</v>
      </c>
      <c r="AD57" s="41"/>
      <c r="AE57" s="55"/>
      <c r="AF57" s="2" t="s">
        <v>11</v>
      </c>
      <c r="AG57" s="55"/>
      <c r="AH57" s="55"/>
    </row>
    <row r="58" spans="3:41" ht="15.6" thickTop="1" thickBot="1" x14ac:dyDescent="0.35">
      <c r="C58" s="91"/>
      <c r="D58" s="111" t="s">
        <v>25</v>
      </c>
      <c r="F58" s="34"/>
      <c r="G58" s="48">
        <f>$D$25^(1/10)</f>
        <v>0.99747142145553824</v>
      </c>
      <c r="H58" s="39"/>
      <c r="I58" s="29">
        <f>H59</f>
        <v>0.99967349797995009</v>
      </c>
      <c r="J58" s="29">
        <f>H60</f>
        <v>0.99967349797995009</v>
      </c>
      <c r="K58" s="29">
        <f>H61</f>
        <v>0.99967349797995009</v>
      </c>
      <c r="L58" s="36"/>
      <c r="M58" s="18">
        <f>IF(G58=0.5,PI()/2,IF(G58&lt;0.5,ACOS(SQRT(_xlfn.BETA.INV(1-2*G58,0.5,(1+M$26+$D$21-5-2)/2))),PI()-ACOS(SQRT(_xlfn.BETA.INV(1-2*(1-G58),0.5,(1+M$26+$D$21-5-2)/2)))))</f>
        <v>1.7478084684970749</v>
      </c>
      <c r="N58" s="19"/>
      <c r="O58" s="19"/>
      <c r="P58" s="19"/>
      <c r="Q58" s="20"/>
      <c r="R58" s="6"/>
      <c r="S58" s="18">
        <f>COS(M58)</f>
        <v>-0.17608919313381369</v>
      </c>
      <c r="T58" s="19">
        <f>SIN(M58)</f>
        <v>0.984374215459488</v>
      </c>
      <c r="U58" s="26">
        <v>0</v>
      </c>
      <c r="V58" s="26">
        <v>0</v>
      </c>
      <c r="W58" s="27">
        <v>0</v>
      </c>
      <c r="X58" s="42"/>
      <c r="Y58" s="28">
        <f t="shared" ref="Y58:Y61" si="7">SUMPRODUCT($S58:$W58,$S$57:$W$57)</f>
        <v>-0.17608919313381369</v>
      </c>
      <c r="Z58" s="106">
        <f t="shared" ref="Z58:Z61" si="8">SUMPRODUCT($S58:$W58,$S$58:$W$58)</f>
        <v>1</v>
      </c>
      <c r="AA58" s="28">
        <f t="shared" ref="AA58:AA61" si="9">SUMPRODUCT($S58:$W58,$S$59:$W$59)</f>
        <v>-0.17608919313381222</v>
      </c>
      <c r="AB58" s="28">
        <f t="shared" ref="AB58:AB61" si="10">SUMPRODUCT($S58:$W58,$S$60:$W$60)</f>
        <v>-0.17608919313381222</v>
      </c>
      <c r="AC58" s="28">
        <f t="shared" ref="AC58:AC61" si="11">SUMPRODUCT($S58:$W58,$S$61:$W$61)</f>
        <v>-0.17608919313381222</v>
      </c>
      <c r="AD58" s="41"/>
      <c r="AF58" s="64">
        <f>IF($G$56="",LN(MAX(2*MIN(G58,1-G58),$AF$26))+LN(MAX(2*MIN(G59,1-G59),$AF$26))+LN(MAX(2*MIN(G60,1-G60),$AF$26))+LN(MAX(2*MIN(G61,1-G61),$AF$26))+LN(MAX(2*MIN(H59,1-H59),$AF$26))+LN(MAX(2*MIN(H60,1-H60),$AF$26))+LN(MAX(2*MIN(H61,1-H61),$AF$26))+LN(MAX(2*MIN(I60,1-I60),$AF$26))+LN(MAX(2*MIN(I61,1-I61),$AF$26))+LN(MAX(2*MIN(J61,1-J61),$AF$26)),"ERR")</f>
        <v>-86.188409018520574</v>
      </c>
      <c r="AG58" s="55"/>
      <c r="AH58" s="55"/>
      <c r="AL58" s="78"/>
      <c r="AM58" s="78"/>
      <c r="AN58" s="78"/>
      <c r="AO58" s="78"/>
    </row>
    <row r="59" spans="3:41" ht="15.6" thickTop="1" thickBot="1" x14ac:dyDescent="0.35">
      <c r="C59" s="91"/>
      <c r="D59" s="146">
        <f>1-G58^10</f>
        <v>2.4999999999999578E-2</v>
      </c>
      <c r="F59" s="34"/>
      <c r="G59" s="48">
        <f>G58</f>
        <v>0.99747142145553824</v>
      </c>
      <c r="H59" s="48">
        <f>Z100</f>
        <v>0.99967349797995009</v>
      </c>
      <c r="I59" s="39"/>
      <c r="J59" s="29">
        <f>I60</f>
        <v>0.99999345560622865</v>
      </c>
      <c r="K59" s="29">
        <f>I61</f>
        <v>0.99999345560622865</v>
      </c>
      <c r="L59" s="36"/>
      <c r="M59" s="18">
        <f>IF(G59=0.5,PI()/2,IF(G59&lt;0.5,ACOS(SQRT(_xlfn.BETA.INV(1-2*G59,0.5,(1+M$26+$D$21-5-2)/2))),PI()-ACOS(SQRT(_xlfn.BETA.INV(1-2*(1-G59),0.5,(1+M$26+$D$21-5-2)/2)))))</f>
        <v>1.7478084684970749</v>
      </c>
      <c r="N59" s="19">
        <f>IF(H59=0.5,PI()/2,IF(H59&lt;0.5,ACOS(SQRT(_xlfn.BETA.INV(1-2*H59,0.5,(1+N$26+$D$21-5-2)/2))),PI()-ACOS(SQRT(_xlfn.BETA.INV(1-2*(1-H59),0.5,(1+N$26+$D$21-5-2)/2)))))</f>
        <v>1.7861813913171056</v>
      </c>
      <c r="O59" s="19"/>
      <c r="P59" s="19"/>
      <c r="Q59" s="20"/>
      <c r="R59" s="6"/>
      <c r="S59" s="18">
        <f>COS(M59)</f>
        <v>-0.17608919313381369</v>
      </c>
      <c r="T59" s="19">
        <f>COS(N59)*SIN(M59)</f>
        <v>-0.2103840123196043</v>
      </c>
      <c r="U59" s="19">
        <f>SIN(N59)*SIN(M59)</f>
        <v>0.96162943144528767</v>
      </c>
      <c r="V59" s="26">
        <v>0</v>
      </c>
      <c r="W59" s="27">
        <v>0</v>
      </c>
      <c r="X59" s="42"/>
      <c r="Y59" s="28">
        <f t="shared" si="7"/>
        <v>-0.17608919313381369</v>
      </c>
      <c r="Z59" s="28">
        <f t="shared" si="8"/>
        <v>-0.17608919313381222</v>
      </c>
      <c r="AA59" s="106">
        <f t="shared" si="9"/>
        <v>1.0000000000000002</v>
      </c>
      <c r="AB59" s="28">
        <f t="shared" si="10"/>
        <v>-0.1760891931337101</v>
      </c>
      <c r="AC59" s="28">
        <f t="shared" si="11"/>
        <v>-0.1760891931337101</v>
      </c>
      <c r="AD59" s="41"/>
      <c r="AG59" s="55"/>
      <c r="AH59" s="55"/>
      <c r="AL59" s="78"/>
      <c r="AM59" s="78"/>
      <c r="AN59" s="78"/>
      <c r="AO59" s="78"/>
    </row>
    <row r="60" spans="3:41" ht="15" thickTop="1" x14ac:dyDescent="0.3">
      <c r="C60" s="91"/>
      <c r="D60" s="90"/>
      <c r="F60" s="34"/>
      <c r="G60" s="48">
        <f>G58</f>
        <v>0.99747142145553824</v>
      </c>
      <c r="H60" s="48">
        <f>Z101</f>
        <v>0.99967349797995009</v>
      </c>
      <c r="I60" s="48">
        <f>AA101</f>
        <v>0.99999345560622865</v>
      </c>
      <c r="J60" s="39"/>
      <c r="K60" s="29">
        <f>J61</f>
        <v>0.99999999940619022</v>
      </c>
      <c r="L60" s="36"/>
      <c r="M60" s="18">
        <f>IF(G60=0.5,PI()/2,IF(G60&lt;0.5,ACOS(SQRT(_xlfn.BETA.INV(1-2*G60,0.5,(1+M$26+$D$21-5-2)/2))),PI()-ACOS(SQRT(_xlfn.BETA.INV(1-2*(1-G60),0.5,(1+M$26+$D$21-5-2)/2)))))</f>
        <v>1.7478084684970749</v>
      </c>
      <c r="N60" s="19">
        <f>IF(H60=0.5,PI()/2,IF(H60&lt;0.5,ACOS(SQRT(_xlfn.BETA.INV(1-2*H60,0.5,(1+N$26+$D$21-5-2)/2))),PI()-ACOS(SQRT(_xlfn.BETA.INV(1-2*(1-H60),0.5,(1+N$26+$D$21-5-2)/2)))))</f>
        <v>1.7861813913171056</v>
      </c>
      <c r="O60" s="19">
        <f>IF(I60=0.5,PI()/2,IF(I60&lt;0.5,ACOS(SQRT(_xlfn.BETA.INV(1-2*I60,0.5,(1+O$26+$D$21-5-2)/2))),PI()-ACOS(SQRT(_xlfn.BETA.INV(1-2*(1-I60),0.5,(1+O$26+$D$21-5-2)/2)))))</f>
        <v>1.8460773706520572</v>
      </c>
      <c r="P60" s="19"/>
      <c r="Q60" s="20"/>
      <c r="R60" s="6"/>
      <c r="S60" s="18">
        <f>COS(M60)</f>
        <v>-0.17608919313381369</v>
      </c>
      <c r="T60" s="19">
        <f>COS(N60)*SIN(M60)</f>
        <v>-0.2103840123196043</v>
      </c>
      <c r="U60" s="19">
        <f>COS(O60)*SIN(N60)*SIN(M60)</f>
        <v>-0.26138762135653726</v>
      </c>
      <c r="V60" s="19">
        <f>SIN(O60)*SIN(N60)*SIN(M60)</f>
        <v>0.92542297076707503</v>
      </c>
      <c r="W60" s="27">
        <v>0</v>
      </c>
      <c r="X60" s="42"/>
      <c r="Y60" s="28">
        <f t="shared" si="7"/>
        <v>-0.17608919313381369</v>
      </c>
      <c r="Z60" s="28">
        <f t="shared" si="8"/>
        <v>-0.17608919313381222</v>
      </c>
      <c r="AA60" s="28">
        <f t="shared" si="9"/>
        <v>-0.1760891931337101</v>
      </c>
      <c r="AB60" s="106">
        <f t="shared" si="10"/>
        <v>1</v>
      </c>
      <c r="AC60" s="28">
        <f t="shared" si="11"/>
        <v>-0.17608919261944678</v>
      </c>
      <c r="AD60" s="41"/>
      <c r="AE60" s="82"/>
      <c r="AF60" s="85"/>
      <c r="AH60" s="55"/>
      <c r="AL60" s="78"/>
      <c r="AM60" s="78"/>
      <c r="AN60" s="78"/>
      <c r="AO60" s="78"/>
    </row>
    <row r="61" spans="3:41" ht="15" thickBot="1" x14ac:dyDescent="0.35">
      <c r="C61" s="91"/>
      <c r="D61" s="90"/>
      <c r="F61" s="34"/>
      <c r="G61" s="48">
        <f>G58</f>
        <v>0.99747142145553824</v>
      </c>
      <c r="H61" s="48">
        <f>Z102</f>
        <v>0.99967349797995009</v>
      </c>
      <c r="I61" s="48">
        <f>AA102</f>
        <v>0.99999345560622865</v>
      </c>
      <c r="J61" s="48">
        <f>AB102</f>
        <v>0.99999999940619022</v>
      </c>
      <c r="K61" s="39"/>
      <c r="L61" s="36"/>
      <c r="M61" s="21">
        <f>IF(G61=0.5,PI()/2,IF(G61&lt;0.5,ACOS(SQRT(_xlfn.BETA.INV(1-2*G61,0.5,(1+M$26+$D$21-5-2)/2))),PI()-ACOS(SQRT(_xlfn.BETA.INV(1-2*(1-G61),0.5,(1+M$26+$D$21-5-2)/2)))))</f>
        <v>1.7478084684970749</v>
      </c>
      <c r="N61" s="22">
        <f>IF(H61=0.5,PI()/2,IF(H61&lt;0.5,ACOS(SQRT(_xlfn.BETA.INV(1-2*H61,0.5,(1+N$26+$D$21-5-2)/2))),PI()-ACOS(SQRT(_xlfn.BETA.INV(1-2*(1-H61),0.5,(1+N$26+$D$21-5-2)/2)))))</f>
        <v>1.7861813913171056</v>
      </c>
      <c r="O61" s="22">
        <f>IF(I61=0.5,PI()/2,IF(I61&lt;0.5,ACOS(SQRT(_xlfn.BETA.INV(1-2*I61,0.5,(1+O$26+$D$21-5-2)/2))),PI()-ACOS(SQRT(_xlfn.BETA.INV(1-2*(1-I61),0.5,(1+O$26+$D$21-5-2)/2)))))</f>
        <v>1.8460773706520572</v>
      </c>
      <c r="P61" s="22">
        <f>IF(J61=0.5,PI()/2,IF(J61&lt;0.5,ACOS(SQRT(_xlfn.BETA.INV(1-2*J61,0.5,(1+P$26+$D$21-5-2)/2))),PI()-ACOS(SQRT(_xlfn.BETA.INV(1-2*(1-J61),0.5,(1+P$26+$D$21-5-2)/2)))))</f>
        <v>1.9533404884960632</v>
      </c>
      <c r="Q61" s="23"/>
      <c r="R61" s="6"/>
      <c r="S61" s="21">
        <f>COS(M61)</f>
        <v>-0.17608919313381369</v>
      </c>
      <c r="T61" s="22">
        <f>COS(N61)*SIN(M61)</f>
        <v>-0.2103840123196043</v>
      </c>
      <c r="U61" s="22">
        <f>COS(O61)*SIN(N61)*SIN(M61)</f>
        <v>-0.26138762135653726</v>
      </c>
      <c r="V61" s="22">
        <f>COS(P61)*SIN(O61)*SIN(N61)*SIN(M61)</f>
        <v>-0.34544368131591441</v>
      </c>
      <c r="W61" s="23">
        <f>SIN(P61)*SIN(O61)*SIN(N61)*SIN(M61)</f>
        <v>0.85853150079788443</v>
      </c>
      <c r="X61" s="42"/>
      <c r="Y61" s="28">
        <f t="shared" si="7"/>
        <v>-0.17608919313381369</v>
      </c>
      <c r="Z61" s="28">
        <f t="shared" si="8"/>
        <v>-0.17608919313381222</v>
      </c>
      <c r="AA61" s="28">
        <f t="shared" si="9"/>
        <v>-0.1760891931337101</v>
      </c>
      <c r="AB61" s="28">
        <f t="shared" si="10"/>
        <v>-0.17608919261944678</v>
      </c>
      <c r="AC61" s="106">
        <f t="shared" si="11"/>
        <v>1.0000000000000002</v>
      </c>
      <c r="AD61" s="41"/>
      <c r="AE61" s="82"/>
      <c r="AF61" s="85"/>
      <c r="AG61" s="11"/>
      <c r="AH61" s="55"/>
      <c r="AL61" s="78"/>
      <c r="AM61" s="78"/>
      <c r="AN61" s="78"/>
      <c r="AO61" s="78"/>
    </row>
    <row r="62" spans="3:41" ht="15" thickTop="1" x14ac:dyDescent="0.3">
      <c r="C62" s="91"/>
      <c r="D62" s="90"/>
      <c r="G62" s="98" t="s">
        <v>60</v>
      </c>
      <c r="H62" s="35"/>
      <c r="I62" s="35"/>
      <c r="J62" s="93"/>
      <c r="K62" s="35"/>
      <c r="L62" s="14"/>
      <c r="M62" s="6"/>
      <c r="N62" s="6"/>
      <c r="O62" s="6"/>
      <c r="P62" s="6"/>
      <c r="X62" s="14"/>
      <c r="Y62" s="98" t="s">
        <v>60</v>
      </c>
      <c r="Z62" s="100"/>
      <c r="AA62" s="100"/>
      <c r="AB62" s="100"/>
      <c r="AC62" s="86"/>
      <c r="AE62" s="82"/>
      <c r="AF62" s="85"/>
      <c r="AG62" s="56"/>
      <c r="AH62" s="55"/>
    </row>
    <row r="63" spans="3:41" x14ac:dyDescent="0.3">
      <c r="C63" s="91"/>
      <c r="D63" s="90"/>
      <c r="J63" s="94"/>
      <c r="L63" s="14"/>
      <c r="M63" s="6"/>
      <c r="N63" s="6"/>
      <c r="O63" s="6"/>
      <c r="P63" s="6"/>
      <c r="X63" s="14"/>
      <c r="Y63" s="19"/>
      <c r="Z63" s="19"/>
      <c r="AA63" s="19"/>
      <c r="AB63" s="19"/>
      <c r="AC63" s="43"/>
      <c r="AE63" s="82"/>
      <c r="AF63" s="85"/>
      <c r="AG63" s="56"/>
      <c r="AH63" s="55"/>
    </row>
    <row r="64" spans="3:41" x14ac:dyDescent="0.3">
      <c r="D64" s="92"/>
      <c r="G64" s="1" t="s">
        <v>51</v>
      </c>
      <c r="J64" s="94"/>
      <c r="L64" s="14"/>
      <c r="M64" s="6"/>
      <c r="N64" s="6"/>
      <c r="O64" s="6"/>
      <c r="P64" s="6"/>
      <c r="X64" s="14"/>
      <c r="Y64" s="19"/>
      <c r="Z64" s="19"/>
      <c r="AA64" s="19"/>
      <c r="AB64" s="19"/>
      <c r="AC64" s="43"/>
      <c r="AE64" s="82"/>
      <c r="AF64" s="85"/>
      <c r="AG64" s="56"/>
      <c r="AH64" s="55"/>
    </row>
    <row r="65" spans="3:43" x14ac:dyDescent="0.3">
      <c r="C65" s="68"/>
      <c r="D65" s="68"/>
      <c r="J65" s="94"/>
      <c r="L65" s="14"/>
      <c r="M65" s="6"/>
      <c r="N65" s="6"/>
      <c r="O65" s="6"/>
      <c r="P65" s="6"/>
      <c r="X65" s="14" t="s">
        <v>2</v>
      </c>
      <c r="Y65" s="26">
        <v>4</v>
      </c>
      <c r="Z65" s="26">
        <v>3</v>
      </c>
      <c r="AA65" s="26">
        <v>2</v>
      </c>
      <c r="AB65" s="26">
        <v>1</v>
      </c>
      <c r="AC65" s="43"/>
      <c r="AE65" s="82"/>
      <c r="AF65" s="85"/>
      <c r="AG65" s="56"/>
      <c r="AH65" s="55"/>
    </row>
    <row r="66" spans="3:43" x14ac:dyDescent="0.3">
      <c r="C66" s="44"/>
      <c r="D66" s="1"/>
      <c r="G66" s="2" t="s">
        <v>56</v>
      </c>
      <c r="H66" s="90"/>
      <c r="Y66" s="39"/>
      <c r="Z66" s="43"/>
      <c r="AA66" s="43"/>
      <c r="AB66" s="43"/>
      <c r="AC66" s="43"/>
      <c r="AE66" s="82"/>
      <c r="AF66" s="85"/>
      <c r="AG66" s="56"/>
      <c r="AH66" s="55"/>
    </row>
    <row r="67" spans="3:43" x14ac:dyDescent="0.3">
      <c r="C67" s="91"/>
      <c r="D67" s="90"/>
      <c r="G67" s="2" t="s">
        <v>28</v>
      </c>
      <c r="M67" s="2" t="s">
        <v>0</v>
      </c>
      <c r="S67" s="2" t="s">
        <v>3</v>
      </c>
      <c r="Y67" s="49" t="s">
        <v>29</v>
      </c>
      <c r="Z67" s="43"/>
      <c r="AA67" s="43"/>
      <c r="AB67" s="43"/>
      <c r="AC67" s="43"/>
      <c r="AG67" s="55"/>
      <c r="AH67" s="55"/>
    </row>
    <row r="68" spans="3:43" ht="15" thickBot="1" x14ac:dyDescent="0.35">
      <c r="C68" s="91"/>
      <c r="D68" s="90"/>
      <c r="G68" s="37" t="str">
        <f>IF(NOT(ISNUMBER(M69*M70*M71*M72*M73*N70*N71*N72*N73*O71*O72*O73*P72*P73*Q73)),"MATRIX MUST BE POSITIVE DEFINITE","")</f>
        <v/>
      </c>
      <c r="H68" s="38"/>
      <c r="I68" s="38"/>
      <c r="J68" s="38"/>
      <c r="K68" s="38"/>
      <c r="Y68" s="174" t="str">
        <f>IF(NOT(ISNUMBER(Y70*Y71*Y72*Y73*Z71*Z72*Z73*AA72*AA73*AB73)),"ALL CELLS MUST BE 1E-16&lt;#&lt;[1.0 - 1E-16].",IF(OR(NOT(AND($AF$26&lt;Y70,Y70&lt;(1-$AF$26))),NOT(AND($AF$26&lt;Y71,Y71&lt;(1-$AF$26))),NOT(AND($AF$26&lt;Y72,Y72&lt;(1-$AF$26))),NOT(AND($AF$26&lt;Y73,Y73&lt;(1-$AF$26))),NOT(AND($AF$26&lt;Z71,Z71&lt;(1-$AF$26))),NOT(AND($AF$26&lt;Z72,Z72&lt;(1-$AF$26))),NOT(AND($AF$26&lt;Z73,Z73&lt;(1-$AF$26))),NOT(AND($AF$26&lt;AA72,AA72&lt;(1-$AF$26))),NOT(AND($AF$26&lt;AA73,AA73&lt;(1-$AF$26))),NOT(AND($AF$26&lt;AB73,AB73&lt;(1-$AF$26)))),"ALL CELLS MUST BE 1E-16&lt;#&lt;[1.0 - 1E-16].",""))</f>
        <v/>
      </c>
      <c r="Z68" s="43"/>
      <c r="AA68" s="43"/>
      <c r="AB68" s="43"/>
      <c r="AC68" s="43"/>
      <c r="AE68" s="55"/>
      <c r="AF68" s="60" t="s">
        <v>13</v>
      </c>
      <c r="AG68" s="55"/>
      <c r="AH68" s="55"/>
      <c r="AQ68" s="101"/>
    </row>
    <row r="69" spans="3:43" ht="15.6" thickTop="1" thickBot="1" x14ac:dyDescent="0.35">
      <c r="C69" s="91"/>
      <c r="D69" s="90"/>
      <c r="F69" s="34"/>
      <c r="G69" s="106">
        <v>1</v>
      </c>
      <c r="H69" s="29">
        <f>G70</f>
        <v>0.12360678381255652</v>
      </c>
      <c r="I69" s="29">
        <f>G71</f>
        <v>0.12360678381255652</v>
      </c>
      <c r="J69" s="29">
        <f>G72</f>
        <v>0.12360678381255652</v>
      </c>
      <c r="K69" s="29">
        <f>G73</f>
        <v>0.12360678381255652</v>
      </c>
      <c r="L69" s="36"/>
      <c r="M69" s="15">
        <f>SQRT(G69)</f>
        <v>1</v>
      </c>
      <c r="N69" s="24">
        <v>0</v>
      </c>
      <c r="O69" s="24">
        <v>0</v>
      </c>
      <c r="P69" s="24">
        <v>0</v>
      </c>
      <c r="Q69" s="25">
        <v>0</v>
      </c>
      <c r="R69" s="6"/>
      <c r="S69" s="15"/>
      <c r="T69" s="16"/>
      <c r="U69" s="16"/>
      <c r="V69" s="16"/>
      <c r="W69" s="17"/>
      <c r="X69" s="66"/>
      <c r="Y69" s="173"/>
      <c r="Z69" s="148">
        <f>Y70</f>
        <v>2.5000000000000022E-2</v>
      </c>
      <c r="AA69" s="148">
        <f>Y71</f>
        <v>2.5000000000000022E-2</v>
      </c>
      <c r="AB69" s="148">
        <f>Y72</f>
        <v>2.5000000000000022E-2</v>
      </c>
      <c r="AC69" s="149">
        <f>Y73</f>
        <v>2.5000000000000022E-2</v>
      </c>
      <c r="AE69" s="55"/>
      <c r="AF69" s="2" t="s">
        <v>11</v>
      </c>
      <c r="AG69" s="55"/>
      <c r="AH69" s="55"/>
    </row>
    <row r="70" spans="3:43" ht="15.6" thickTop="1" thickBot="1" x14ac:dyDescent="0.35">
      <c r="C70" s="91"/>
      <c r="D70" s="90"/>
      <c r="F70" s="34"/>
      <c r="G70" s="107">
        <f>$Y$31</f>
        <v>0.12360678381255652</v>
      </c>
      <c r="H70" s="106">
        <v>1</v>
      </c>
      <c r="I70" s="29">
        <f>H71</f>
        <v>0.12360678381255652</v>
      </c>
      <c r="J70" s="29">
        <f>H72</f>
        <v>0.12360678381255652</v>
      </c>
      <c r="K70" s="29">
        <f>H73</f>
        <v>0.12360678381255652</v>
      </c>
      <c r="L70" s="36"/>
      <c r="M70" s="18">
        <f>G70/M69</f>
        <v>0.12360678381255652</v>
      </c>
      <c r="N70" s="19">
        <f>SQRT(H70-M70^2)</f>
        <v>0.99233127684030797</v>
      </c>
      <c r="O70" s="26">
        <v>0</v>
      </c>
      <c r="P70" s="26">
        <v>0</v>
      </c>
      <c r="Q70" s="27">
        <v>0</v>
      </c>
      <c r="R70" s="6"/>
      <c r="S70" s="18">
        <f>ACOS(M70)</f>
        <v>1.4468726018200331</v>
      </c>
      <c r="T70" s="19"/>
      <c r="U70" s="19"/>
      <c r="V70" s="19"/>
      <c r="W70" s="20"/>
      <c r="X70" s="66"/>
      <c r="Y70" s="150">
        <f>IF(S70=PI()/2,0.5,IF(S70&lt;PI()/2,0.5-0.5*_xlfn.BETA.DIST(COS(S70)^2,0.5,(1+Y$65+$D$21-5-2)/2,TRUE),0.5+0.5*_xlfn.BETA.DIST(COS(S70)^2,0.5,(1+Y$65+$D$21-5-2)/2,TRUE)))</f>
        <v>2.5000000000000022E-2</v>
      </c>
      <c r="Z70" s="39"/>
      <c r="AA70" s="28">
        <f>Z71</f>
        <v>4.0977569333483066E-2</v>
      </c>
      <c r="AB70" s="28">
        <f>Z72</f>
        <v>4.0977569333483066E-2</v>
      </c>
      <c r="AC70" s="151">
        <f>Z73</f>
        <v>4.0977569333483066E-2</v>
      </c>
      <c r="AF70" s="63">
        <f>IF($G$110="",LN(MAX(2*MIN(Y70,1-Y70),$AF$26))+LN(MAX(2*MIN(Y71,1-Y71),$AF$26))+LN(MAX(2*MIN(Y72,1-Y72),$AF$26))+LN(MAX(2*MIN(Y73,1-Y73),$AF$26))+LN(MAX(2*MIN(Z71,1-Z71),$AF$26))+LN(MAX(2*MIN(Z72,1-Z72),$AF$26))+LN(MAX(2*MIN(Z73,1-Z73),$AF$26))+LN(MAX(2*MIN(AA72,1-AA72),$AF$26))+LN(MAX(2*MIN(AA73,1-AA73),$AF$26))+LN(MAX(2*MIN(AB73,1-AB73),$AF$26)),"ERR")</f>
        <v>-25.618732833659571</v>
      </c>
      <c r="AG70" s="55"/>
      <c r="AH70" s="55"/>
    </row>
    <row r="71" spans="3:43" ht="15" thickTop="1" x14ac:dyDescent="0.3">
      <c r="C71" s="91"/>
      <c r="D71" s="90"/>
      <c r="F71" s="34"/>
      <c r="G71" s="107">
        <f t="shared" ref="G71:I73" si="12">$Y$31</f>
        <v>0.12360678381255652</v>
      </c>
      <c r="H71" s="107">
        <f t="shared" si="12"/>
        <v>0.12360678381255652</v>
      </c>
      <c r="I71" s="106">
        <v>1</v>
      </c>
      <c r="J71" s="29">
        <f>I72</f>
        <v>0.12360678381255652</v>
      </c>
      <c r="K71" s="29">
        <f>I73</f>
        <v>0.12360678381255652</v>
      </c>
      <c r="L71" s="36"/>
      <c r="M71" s="18">
        <f>G71/M69</f>
        <v>0.12360678381255652</v>
      </c>
      <c r="N71" s="19">
        <f>(H71-M71*M70)/N70</f>
        <v>0.10916530531316233</v>
      </c>
      <c r="O71" s="19">
        <f>SQRT(I71-(N71^2+M71^2))</f>
        <v>0.98630841987250617</v>
      </c>
      <c r="P71" s="26">
        <v>0</v>
      </c>
      <c r="Q71" s="27">
        <v>0</v>
      </c>
      <c r="R71" s="6"/>
      <c r="S71" s="18">
        <f>ACOS(M71)</f>
        <v>1.4468726018200331</v>
      </c>
      <c r="T71" s="19">
        <f>ACOS(N71/(SIN(S71)))</f>
        <v>1.4605642888920711</v>
      </c>
      <c r="U71" s="19"/>
      <c r="V71" s="19"/>
      <c r="W71" s="20"/>
      <c r="X71" s="66"/>
      <c r="Y71" s="150">
        <f>IF(S71=PI()/2,0.5,IF(S71&lt;PI()/2,0.5-0.5*_xlfn.BETA.DIST(COS(S71)^2,0.5,(1+Y$65+$D$21-5-2)/2,TRUE),0.5+0.5*_xlfn.BETA.DIST(COS(S71)^2,0.5,(1+Y$65+$D$21-5-2)/2,TRUE)))</f>
        <v>2.5000000000000022E-2</v>
      </c>
      <c r="Z71" s="152">
        <f>IF(T71=PI()/2,0.5,IF(T71&lt;PI()/2,0.5-0.5*_xlfn.BETA.DIST(COS(T71)^2,0.5,(1+Z$65+$D$21-5-2)/2,TRUE),0.5+0.5*_xlfn.BETA.DIST(COS(T71)^2,0.5,(1+Z$65+$D$21-5-2)/2,TRUE)))</f>
        <v>4.0977569333483066E-2</v>
      </c>
      <c r="AA71" s="39"/>
      <c r="AB71" s="28">
        <f>AA72</f>
        <v>5.9025571461297832E-2</v>
      </c>
      <c r="AC71" s="151">
        <f>AA73</f>
        <v>5.9025571461297832E-2</v>
      </c>
      <c r="AG71" s="55"/>
      <c r="AH71" s="55"/>
    </row>
    <row r="72" spans="3:43" x14ac:dyDescent="0.3">
      <c r="C72" s="91"/>
      <c r="D72" s="90"/>
      <c r="F72" s="34"/>
      <c r="G72" s="107">
        <f t="shared" si="12"/>
        <v>0.12360678381255652</v>
      </c>
      <c r="H72" s="107">
        <f t="shared" si="12"/>
        <v>0.12360678381255652</v>
      </c>
      <c r="I72" s="107">
        <f t="shared" si="12"/>
        <v>0.12360678381255652</v>
      </c>
      <c r="J72" s="106">
        <v>1</v>
      </c>
      <c r="K72" s="29">
        <f>J73</f>
        <v>0.12360678381255652</v>
      </c>
      <c r="L72" s="36"/>
      <c r="M72" s="18">
        <f>G72/M69</f>
        <v>0.12360678381255652</v>
      </c>
      <c r="N72" s="19">
        <f>(H72-M72*M71)/N70</f>
        <v>0.10916530531316233</v>
      </c>
      <c r="O72" s="19">
        <f>(I72-(M71*M72+N71*N72))/O71</f>
        <v>9.7749427036645326E-2</v>
      </c>
      <c r="P72" s="19">
        <f>SQRT(J72-(O72^2+N72^2+M72^2))</f>
        <v>0.98145267263654012</v>
      </c>
      <c r="Q72" s="27">
        <v>0</v>
      </c>
      <c r="R72" s="6"/>
      <c r="S72" s="18">
        <f>ACOS(M72)</f>
        <v>1.4468726018200331</v>
      </c>
      <c r="T72" s="19">
        <f>ACOS(N72/(SIN(S72)))</f>
        <v>1.4605642888920711</v>
      </c>
      <c r="U72" s="19">
        <f>ACOS(O72/(SIN(T72)*SIN(S72)))</f>
        <v>1.4715270177036162</v>
      </c>
      <c r="V72" s="19"/>
      <c r="W72" s="20"/>
      <c r="X72" s="66"/>
      <c r="Y72" s="150">
        <f>IF(S72=PI()/2,0.5,IF(S72&lt;PI()/2,0.5-0.5*_xlfn.BETA.DIST(COS(S72)^2,0.5,(1+Y$65+$D$21-5-2)/2,TRUE),0.5+0.5*_xlfn.BETA.DIST(COS(S72)^2,0.5,(1+Y$65+$D$21-5-2)/2,TRUE)))</f>
        <v>2.5000000000000022E-2</v>
      </c>
      <c r="Z72" s="152">
        <f>IF(T72=PI()/2,0.5,IF(T72&lt;PI()/2,0.5-0.5*_xlfn.BETA.DIST(COS(T72)^2,0.5,(1+Z$65+$D$21-5-2)/2,TRUE),0.5+0.5*_xlfn.BETA.DIST(COS(T72)^2,0.5,(1+Z$65+$D$21-5-2)/2,TRUE)))</f>
        <v>4.0977569333483066E-2</v>
      </c>
      <c r="AA72" s="152">
        <f>IF(U72=PI()/2,0.5,IF(U72&lt;PI()/2,0.5-0.5*_xlfn.BETA.DIST(COS(U72)^2,0.5,(1+AA$65+$D$21-5-2)/2,TRUE),0.5+0.5*_xlfn.BETA.DIST(COS(U72)^2,0.5,(1+AA$65+$D$21-5-2)/2,TRUE)))</f>
        <v>5.9025571461297832E-2</v>
      </c>
      <c r="AB72" s="39"/>
      <c r="AC72" s="151">
        <f>AB73</f>
        <v>7.8009361535086363E-2</v>
      </c>
      <c r="AE72" s="10"/>
      <c r="AG72" s="67"/>
      <c r="AH72" s="1"/>
    </row>
    <row r="73" spans="3:43" ht="15" thickBot="1" x14ac:dyDescent="0.35">
      <c r="C73" s="91"/>
      <c r="D73" s="90"/>
      <c r="F73" s="34"/>
      <c r="G73" s="107">
        <f t="shared" si="12"/>
        <v>0.12360678381255652</v>
      </c>
      <c r="H73" s="107">
        <f t="shared" si="12"/>
        <v>0.12360678381255652</v>
      </c>
      <c r="I73" s="107">
        <f t="shared" si="12"/>
        <v>0.12360678381255652</v>
      </c>
      <c r="J73" s="107">
        <f>$Y$31</f>
        <v>0.12360678381255652</v>
      </c>
      <c r="K73" s="106">
        <v>1</v>
      </c>
      <c r="L73" s="36"/>
      <c r="M73" s="21">
        <f>G73/M69</f>
        <v>0.12360678381255652</v>
      </c>
      <c r="N73" s="22">
        <f>(H73-M73*M72)/N70</f>
        <v>0.10916530531316233</v>
      </c>
      <c r="O73" s="22">
        <f>(I73-(M71*M73+N71*N73))/O71</f>
        <v>9.7749427036645326E-2</v>
      </c>
      <c r="P73" s="22">
        <f>(J73-(M72*M73+N72*N73+O72*O73))/P72</f>
        <v>8.8497525005089395E-2</v>
      </c>
      <c r="Q73" s="23">
        <f>SQRT(K73-(M73^2+N73^2+O73^2+P73^2))</f>
        <v>0.97745462129624261</v>
      </c>
      <c r="R73" s="6"/>
      <c r="S73" s="21">
        <f>ACOS(M73)</f>
        <v>1.4468726018200331</v>
      </c>
      <c r="T73" s="22">
        <f>ACOS(N73/(SIN(S73)))</f>
        <v>1.4605642888920711</v>
      </c>
      <c r="U73" s="22">
        <f>ACOS(O73/(SIN(T73)*SIN(S73)))</f>
        <v>1.4715270177036162</v>
      </c>
      <c r="V73" s="22">
        <f>ACOS(P73/(SIN(U73)*SIN(T73)*SIN(S73)))</f>
        <v>1.4805037516797421</v>
      </c>
      <c r="W73" s="23"/>
      <c r="X73" s="66"/>
      <c r="Y73" s="153">
        <f>IF(S73=PI()/2,0.5,IF(S73&lt;PI()/2,0.5-0.5*_xlfn.BETA.DIST(COS(S73)^2,0.5,(1+Y$65+$D$21-5-2)/2,TRUE),0.5+0.5*_xlfn.BETA.DIST(COS(S73)^2,0.5,(1+Y$65+$D$21-5-2)/2,TRUE)))</f>
        <v>2.5000000000000022E-2</v>
      </c>
      <c r="Z73" s="154">
        <f>IF(T73=PI()/2,0.5,IF(T73&lt;PI()/2,0.5-0.5*_xlfn.BETA.DIST(COS(T73)^2,0.5,(1+Z$65+$D$21-5-2)/2,TRUE),0.5+0.5*_xlfn.BETA.DIST(COS(T73)^2,0.5,(1+Z$65+$D$21-5-2)/2,TRUE)))</f>
        <v>4.0977569333483066E-2</v>
      </c>
      <c r="AA73" s="154">
        <f>IF(U73=PI()/2,0.5,IF(U73&lt;PI()/2,0.5-0.5*_xlfn.BETA.DIST(COS(U73)^2,0.5,(1+AA$65+$D$21-5-2)/2,TRUE),0.5+0.5*_xlfn.BETA.DIST(COS(U73)^2,0.5,(1+AA$65+$D$21-5-2)/2,TRUE)))</f>
        <v>5.9025571461297832E-2</v>
      </c>
      <c r="AB73" s="154">
        <f>IF(V73=PI()/2,0.5,IF(V73&lt;PI()/2,0.5-0.5*_xlfn.BETA.DIST(COS(V73)^2,0.5,(1+AB$65+$D$21-5-2)/2,TRUE),0.5+0.5*_xlfn.BETA.DIST(COS(V73)^2,0.5,(1+AB$65+$D$21-5-2)/2,TRUE)))</f>
        <v>7.8009361535086363E-2</v>
      </c>
      <c r="AC73" s="155"/>
      <c r="AE73" s="80"/>
      <c r="AF73" s="81"/>
      <c r="AG73" s="45"/>
      <c r="AH73" s="1"/>
    </row>
    <row r="74" spans="3:43" ht="15" thickTop="1" x14ac:dyDescent="0.3">
      <c r="C74" s="91"/>
      <c r="D74" s="90"/>
      <c r="G74" s="35"/>
      <c r="H74" s="35"/>
      <c r="I74" s="35"/>
      <c r="J74" s="35"/>
      <c r="K74" s="35"/>
      <c r="L74" s="14"/>
      <c r="M74" s="6"/>
      <c r="N74" s="6"/>
      <c r="O74" s="6"/>
      <c r="P74" s="6"/>
      <c r="R74" s="14"/>
      <c r="S74" s="6"/>
      <c r="T74" s="6"/>
      <c r="U74" s="6"/>
      <c r="V74" s="6"/>
      <c r="X74" s="14"/>
      <c r="Y74" s="19"/>
      <c r="Z74" s="19"/>
      <c r="AA74" s="19"/>
      <c r="AB74" s="19"/>
      <c r="AC74" s="43"/>
      <c r="AE74" s="80"/>
      <c r="AF74" s="81"/>
      <c r="AG74" s="45"/>
      <c r="AH74" s="55"/>
    </row>
    <row r="75" spans="3:43" x14ac:dyDescent="0.3">
      <c r="G75" s="2" t="s">
        <v>56</v>
      </c>
      <c r="L75" s="14"/>
      <c r="M75" s="6"/>
      <c r="N75" s="6"/>
      <c r="O75" s="6"/>
      <c r="P75" s="6"/>
      <c r="R75" s="14"/>
      <c r="S75" s="6"/>
      <c r="T75" s="6"/>
      <c r="U75" s="6"/>
      <c r="V75" s="6"/>
      <c r="X75" s="14"/>
      <c r="Y75" s="19"/>
      <c r="Z75" s="19"/>
      <c r="AA75" s="19"/>
      <c r="AB75" s="19"/>
      <c r="AC75" s="43"/>
      <c r="AE75" s="80"/>
      <c r="AF75" s="81"/>
      <c r="AG75" s="45"/>
      <c r="AH75" s="55"/>
    </row>
    <row r="76" spans="3:43" x14ac:dyDescent="0.3">
      <c r="G76" s="2" t="s">
        <v>28</v>
      </c>
      <c r="M76" s="2" t="s">
        <v>0</v>
      </c>
      <c r="S76" s="2" t="s">
        <v>3</v>
      </c>
      <c r="Y76" s="49" t="s">
        <v>30</v>
      </c>
      <c r="Z76" s="43"/>
      <c r="AA76" s="43"/>
      <c r="AB76" s="43"/>
      <c r="AC76" s="43"/>
      <c r="AG76" s="55"/>
      <c r="AH76" s="55"/>
    </row>
    <row r="77" spans="3:43" ht="15" thickBot="1" x14ac:dyDescent="0.35">
      <c r="G77" s="12" t="str">
        <f>IF(NOT(ISNUMBER(M78*M79*M80*M81*M82*N79*N80*N81*N82*O80*O81*O82*P81*P82*Q82)),"MATRIX MUST BE POSITIVE DEFINITE","")</f>
        <v/>
      </c>
      <c r="Y77" s="174" t="str">
        <f>IF(NOT(ISNUMBER(Y79*Y80*Y81*Y82*Z80*Z81*Z82*AA81*AA82*AB82)),"ALL CELLS MUST BE 1E-16&lt;#&lt;[1.0 - 1E-16].",IF(OR(NOT(AND($AF$26&lt;Y79,Y79&lt;(1-$AF$26))),NOT(AND($AF$26&lt;Y80,Y80&lt;(1-$AF$26))),NOT(AND($AF$26&lt;Y81,Y81&lt;(1-$AF$26))),NOT(AND($AF$26&lt;Y82,Y82&lt;(1-$AF$26))),NOT(AND($AF$26&lt;Z80,Z80&lt;(1-$AF$26))),NOT(AND($AF$26&lt;Z81,Z81&lt;(1-$AF$26))),NOT(AND($AF$26&lt;Z82,Z82&lt;(1-$AF$26))),NOT(AND($AF$26&lt;AA81,AA81&lt;(1-$AF$26))),NOT(AND($AF$26&lt;AA82,AA82&lt;(1-$AF$26))),NOT(AND($AF$26&lt;AB82,AB82&lt;(1-$AF$26)))),"ALL CELLS MUST BE 1E-16&lt;#&lt;[1.0 - 1E-16].",""))</f>
        <v/>
      </c>
      <c r="Z77" s="43"/>
      <c r="AA77" s="43"/>
      <c r="AB77" s="43"/>
      <c r="AC77" s="43"/>
      <c r="AE77" s="55"/>
      <c r="AF77" s="60" t="s">
        <v>13</v>
      </c>
      <c r="AG77" s="55"/>
      <c r="AH77" s="55"/>
    </row>
    <row r="78" spans="3:43" ht="15.6" thickTop="1" thickBot="1" x14ac:dyDescent="0.35">
      <c r="G78" s="156">
        <v>1</v>
      </c>
      <c r="H78" s="167">
        <f>G79</f>
        <v>-0.1236067838125564</v>
      </c>
      <c r="I78" s="167">
        <f>G80</f>
        <v>-0.1236067838125564</v>
      </c>
      <c r="J78" s="167">
        <f>G81</f>
        <v>-0.1236067838125564</v>
      </c>
      <c r="K78" s="168">
        <f>G82</f>
        <v>-0.1236067838125564</v>
      </c>
      <c r="L78" s="166"/>
      <c r="M78" s="15">
        <f>SQRT(G78)</f>
        <v>1</v>
      </c>
      <c r="N78" s="24">
        <v>0</v>
      </c>
      <c r="O78" s="24">
        <v>0</v>
      </c>
      <c r="P78" s="24">
        <v>0</v>
      </c>
      <c r="Q78" s="25">
        <v>0</v>
      </c>
      <c r="R78" s="6"/>
      <c r="S78" s="15"/>
      <c r="T78" s="16"/>
      <c r="U78" s="16"/>
      <c r="V78" s="16"/>
      <c r="W78" s="17"/>
      <c r="X78" s="66"/>
      <c r="Y78" s="147"/>
      <c r="Z78" s="148">
        <f>Y79</f>
        <v>0.97499999999999998</v>
      </c>
      <c r="AA78" s="148">
        <f>Y80</f>
        <v>0.97499999999999998</v>
      </c>
      <c r="AB78" s="148">
        <f>Y81</f>
        <v>0.97499999999999998</v>
      </c>
      <c r="AC78" s="149">
        <f>Y82</f>
        <v>0.97499999999999998</v>
      </c>
      <c r="AE78" s="55"/>
      <c r="AF78" s="2" t="s">
        <v>11</v>
      </c>
      <c r="AG78" s="55"/>
      <c r="AH78" s="55"/>
    </row>
    <row r="79" spans="3:43" ht="15.6" thickTop="1" thickBot="1" x14ac:dyDescent="0.35">
      <c r="G79" s="169">
        <f>$Y$39</f>
        <v>-0.1236067838125564</v>
      </c>
      <c r="H79" s="106">
        <v>1</v>
      </c>
      <c r="I79" s="29">
        <f>H80</f>
        <v>-0.1236067838125564</v>
      </c>
      <c r="J79" s="29">
        <f>H81</f>
        <v>-0.1236067838125564</v>
      </c>
      <c r="K79" s="170">
        <f>H82</f>
        <v>-0.1236067838125564</v>
      </c>
      <c r="L79" s="166"/>
      <c r="M79" s="18">
        <f>G79/M78</f>
        <v>-0.1236067838125564</v>
      </c>
      <c r="N79" s="19">
        <f>SQRT(H79-M79^2)</f>
        <v>0.99233127684030797</v>
      </c>
      <c r="O79" s="26">
        <v>0</v>
      </c>
      <c r="P79" s="26">
        <v>0</v>
      </c>
      <c r="Q79" s="27">
        <v>0</v>
      </c>
      <c r="R79" s="6"/>
      <c r="S79" s="18">
        <f>ACOS(M79)</f>
        <v>1.69472005176976</v>
      </c>
      <c r="T79" s="19"/>
      <c r="U79" s="19"/>
      <c r="V79" s="19"/>
      <c r="W79" s="20"/>
      <c r="X79" s="66"/>
      <c r="Y79" s="150">
        <f>IF(S79=PI()/2,0.5,IF(S79&lt;PI()/2,0.5-0.5*_xlfn.BETA.DIST(COS(S79)^2,0.5,(1+Y$65+$D$21-5-2)/2,TRUE),0.5+0.5*_xlfn.BETA.DIST(COS(S79)^2,0.5,(1+Y$65+$D$21-5-2)/2,TRUE)))</f>
        <v>0.97499999999999998</v>
      </c>
      <c r="Z79" s="39"/>
      <c r="AA79" s="28">
        <f>Z80</f>
        <v>0.98727578510490877</v>
      </c>
      <c r="AB79" s="28">
        <f>Z81</f>
        <v>0.98727578510490877</v>
      </c>
      <c r="AC79" s="151">
        <f>Z82</f>
        <v>0.98727578510490877</v>
      </c>
      <c r="AF79" s="63">
        <f>IF($G$110="",LN(MAX(2*MIN(Y79,1-Y79),$AF$26))+LN(MAX(2*MIN(Y80,1-Y80),$AF$26))+LN(MAX(2*MIN(Y81,1-Y81),$AF$26))+LN(MAX(2*MIN(Y82,1-Y82),$AF$26))+LN(MAX(2*MIN(Z80,1-Z80),$AF$26))+LN(MAX(2*MIN(Z81,1-Z81),$AF$26))+LN(MAX(2*MIN(Z82,1-Z82),$AF$26))+LN(MAX(2*MIN(AA81,1-AA81),$AF$26))+LN(MAX(2*MIN(AA82,1-AA82),$AF$26))+LN(MAX(2*MIN(AB82,1-AB82),$AF$26)),"ERR")</f>
        <v>-38.649824191150486</v>
      </c>
      <c r="AG79" s="55"/>
      <c r="AH79" s="55"/>
    </row>
    <row r="80" spans="3:43" ht="15" thickTop="1" x14ac:dyDescent="0.3">
      <c r="G80" s="169">
        <f>$Y$39</f>
        <v>-0.1236067838125564</v>
      </c>
      <c r="H80" s="107">
        <f>$Y$39</f>
        <v>-0.1236067838125564</v>
      </c>
      <c r="I80" s="106">
        <v>1</v>
      </c>
      <c r="J80" s="29">
        <f>I81</f>
        <v>-0.1236067838125564</v>
      </c>
      <c r="K80" s="170">
        <f>I82</f>
        <v>-0.1236067838125564</v>
      </c>
      <c r="L80" s="166"/>
      <c r="M80" s="18">
        <f>G80/M78</f>
        <v>-0.1236067838125564</v>
      </c>
      <c r="N80" s="19">
        <f>(H80-M80*M79)/N79</f>
        <v>-0.13995872553696675</v>
      </c>
      <c r="O80" s="57">
        <f>SQRT(I80-(N80^2+M80^2))</f>
        <v>0.98241178644272376</v>
      </c>
      <c r="P80" s="26">
        <v>0</v>
      </c>
      <c r="Q80" s="27">
        <v>0</v>
      </c>
      <c r="R80" s="6"/>
      <c r="S80" s="18">
        <f>ACOS(M80)</f>
        <v>1.69472005176976</v>
      </c>
      <c r="T80" s="19">
        <f>ACOS(N80/(SIN(S80)))</f>
        <v>1.7123084920361937</v>
      </c>
      <c r="U80" s="19"/>
      <c r="V80" s="19"/>
      <c r="W80" s="20"/>
      <c r="X80" s="66"/>
      <c r="Y80" s="150">
        <f>IF(S80=PI()/2,0.5,IF(S80&lt;PI()/2,0.5-0.5*_xlfn.BETA.DIST(COS(S80)^2,0.5,(1+Y$65+$D$21-5-2)/2,TRUE),0.5+0.5*_xlfn.BETA.DIST(COS(S80)^2,0.5,(1+Y$65+$D$21-5-2)/2,TRUE)))</f>
        <v>0.97499999999999998</v>
      </c>
      <c r="Z80" s="152">
        <f>IF(T80=PI()/2,0.5,IF(T80&lt;PI()/2,0.5-0.5*_xlfn.BETA.DIST(COS(T80)^2,0.5,(1+Z$65+$D$21-5-2)/2,TRUE),0.5+0.5*_xlfn.BETA.DIST(COS(T80)^2,0.5,(1+Z$65+$D$21-5-2)/2,TRUE)))</f>
        <v>0.98727578510490877</v>
      </c>
      <c r="AA80" s="39"/>
      <c r="AB80" s="28">
        <f>AA81</f>
        <v>0.99535074860668793</v>
      </c>
      <c r="AC80" s="151">
        <f>AA82</f>
        <v>0.99535074860668793</v>
      </c>
      <c r="AG80" s="55"/>
      <c r="AH80" s="55"/>
    </row>
    <row r="81" spans="6:34" x14ac:dyDescent="0.3">
      <c r="G81" s="169">
        <f>$Y$39</f>
        <v>-0.1236067838125564</v>
      </c>
      <c r="H81" s="107">
        <f>$Y$39</f>
        <v>-0.1236067838125564</v>
      </c>
      <c r="I81" s="107">
        <f>$Y$39</f>
        <v>-0.1236067838125564</v>
      </c>
      <c r="J81" s="106">
        <v>1</v>
      </c>
      <c r="K81" s="170">
        <f>J82</f>
        <v>-0.1236067838125564</v>
      </c>
      <c r="L81" s="166"/>
      <c r="M81" s="18">
        <f>G81/M78</f>
        <v>-0.1236067838125564</v>
      </c>
      <c r="N81" s="19">
        <f>(H81-M81*M80)/N79</f>
        <v>-0.13995872553696675</v>
      </c>
      <c r="O81" s="19">
        <f>(I81-(M80*M81+N80*N81))/O80</f>
        <v>-0.16131103866821506</v>
      </c>
      <c r="P81" s="19">
        <f>SQRT(J81-(O81^2+N81^2+M81^2))</f>
        <v>0.96907774040340311</v>
      </c>
      <c r="Q81" s="27">
        <v>0</v>
      </c>
      <c r="R81" s="6"/>
      <c r="S81" s="18">
        <f>ACOS(M81)</f>
        <v>1.69472005176976</v>
      </c>
      <c r="T81" s="19">
        <f>ACOS(N81/(SIN(S81)))</f>
        <v>1.7123084920361937</v>
      </c>
      <c r="U81" s="19">
        <f>ACOS(O81/(SIN(T81)*SIN(S81)))</f>
        <v>1.7357422676817078</v>
      </c>
      <c r="V81" s="19"/>
      <c r="W81" s="20"/>
      <c r="X81" s="66"/>
      <c r="Y81" s="150">
        <f>IF(S81=PI()/2,0.5,IF(S81&lt;PI()/2,0.5-0.5*_xlfn.BETA.DIST(COS(S81)^2,0.5,(1+Y$65+$D$21-5-2)/2,TRUE),0.5+0.5*_xlfn.BETA.DIST(COS(S81)^2,0.5,(1+Y$65+$D$21-5-2)/2,TRUE)))</f>
        <v>0.97499999999999998</v>
      </c>
      <c r="Z81" s="152">
        <f>IF(T81=PI()/2,0.5,IF(T81&lt;PI()/2,0.5-0.5*_xlfn.BETA.DIST(COS(T81)^2,0.5,(1+Z$65+$D$21-5-2)/2,TRUE),0.5+0.5*_xlfn.BETA.DIST(COS(T81)^2,0.5,(1+Z$65+$D$21-5-2)/2,TRUE)))</f>
        <v>0.98727578510490877</v>
      </c>
      <c r="AA81" s="152">
        <f>IF(U81=PI()/2,0.5,IF(U81&lt;PI()/2,0.5-0.5*_xlfn.BETA.DIST(COS(U81)^2,0.5,(1+AA$65+$D$21-5-2)/2,TRUE),0.5+0.5*_xlfn.BETA.DIST(COS(U81)^2,0.5,(1+AA$65+$D$21-5-2)/2,TRUE)))</f>
        <v>0.99535074860668793</v>
      </c>
      <c r="AB81" s="39"/>
      <c r="AC81" s="151">
        <f>AB82</f>
        <v>0.99907981406528901</v>
      </c>
      <c r="AE81" s="10"/>
      <c r="AG81" s="67"/>
      <c r="AH81" s="1"/>
    </row>
    <row r="82" spans="6:34" ht="15" thickBot="1" x14ac:dyDescent="0.35">
      <c r="G82" s="171">
        <f>$Y$39</f>
        <v>-0.1236067838125564</v>
      </c>
      <c r="H82" s="172">
        <f>$Y$39</f>
        <v>-0.1236067838125564</v>
      </c>
      <c r="I82" s="172">
        <f>$Y$39</f>
        <v>-0.1236067838125564</v>
      </c>
      <c r="J82" s="172">
        <f>$Y$39</f>
        <v>-0.1236067838125564</v>
      </c>
      <c r="K82" s="160">
        <v>1</v>
      </c>
      <c r="L82" s="166"/>
      <c r="M82" s="21">
        <f>G82/M78</f>
        <v>-0.1236067838125564</v>
      </c>
      <c r="N82" s="22">
        <f>(H82-M82*M81)/N79</f>
        <v>-0.13995872553696675</v>
      </c>
      <c r="O82" s="22">
        <f>(I82-(M80*M82+N80*N82))/O80</f>
        <v>-0.16131103866821506</v>
      </c>
      <c r="P82" s="22">
        <f>(J82-(M81*M82+N81*N82+O81*O82))/P81</f>
        <v>-0.19038216355107904</v>
      </c>
      <c r="Q82" s="23">
        <f>SQRT(K82-(M82^2+N82^2+O82^2+P82^2))</f>
        <v>0.95019276925631035</v>
      </c>
      <c r="R82" s="6"/>
      <c r="S82" s="21">
        <f>ACOS(M82)</f>
        <v>1.69472005176976</v>
      </c>
      <c r="T82" s="22">
        <f>ACOS(N82/(SIN(S82)))</f>
        <v>1.7123084920361937</v>
      </c>
      <c r="U82" s="22">
        <f>ACOS(O82/(SIN(T82)*SIN(S82)))</f>
        <v>1.7357422676817078</v>
      </c>
      <c r="V82" s="22">
        <f>ACOS(P82/(SIN(U82)*SIN(T82)*SIN(S82)))</f>
        <v>1.7685395749925343</v>
      </c>
      <c r="W82" s="23"/>
      <c r="X82" s="66"/>
      <c r="Y82" s="153">
        <f>IF(S82=PI()/2,0.5,IF(S82&lt;PI()/2,0.5-0.5*_xlfn.BETA.DIST(COS(S82)^2,0.5,(1+Y$65+$D$21-5-2)/2,TRUE),0.5+0.5*_xlfn.BETA.DIST(COS(S82)^2,0.5,(1+Y$65+$D$21-5-2)/2,TRUE)))</f>
        <v>0.97499999999999998</v>
      </c>
      <c r="Z82" s="154">
        <f>IF(T82=PI()/2,0.5,IF(T82&lt;PI()/2,0.5-0.5*_xlfn.BETA.DIST(COS(T82)^2,0.5,(1+Z$65+$D$21-5-2)/2,TRUE),0.5+0.5*_xlfn.BETA.DIST(COS(T82)^2,0.5,(1+Z$65+$D$21-5-2)/2,TRUE)))</f>
        <v>0.98727578510490877</v>
      </c>
      <c r="AA82" s="154">
        <f>IF(U82=PI()/2,0.5,IF(U82&lt;PI()/2,0.5-0.5*_xlfn.BETA.DIST(COS(U82)^2,0.5,(1+AA$65+$D$21-5-2)/2,TRUE),0.5+0.5*_xlfn.BETA.DIST(COS(U82)^2,0.5,(1+AA$65+$D$21-5-2)/2,TRUE)))</f>
        <v>0.99535074860668793</v>
      </c>
      <c r="AB82" s="154">
        <f>IF(V82=PI()/2,0.5,IF(V82&lt;PI()/2,0.5-0.5*_xlfn.BETA.DIST(COS(V82)^2,0.5,(1+AB$65+$D$21-5-2)/2,TRUE),0.5+0.5*_xlfn.BETA.DIST(COS(V82)^2,0.5,(1+AB$65+$D$21-5-2)/2,TRUE)))</f>
        <v>0.99907981406528901</v>
      </c>
      <c r="AC82" s="155"/>
      <c r="AE82" s="80"/>
      <c r="AF82" s="81"/>
      <c r="AG82" s="45"/>
      <c r="AH82" s="1"/>
    </row>
    <row r="83" spans="6:34" ht="15" thickTop="1" x14ac:dyDescent="0.3">
      <c r="G83" s="98" t="s">
        <v>60</v>
      </c>
      <c r="L83" s="14"/>
      <c r="M83" s="6"/>
      <c r="N83" s="6"/>
      <c r="O83" s="6"/>
      <c r="P83" s="6"/>
      <c r="R83" s="14"/>
      <c r="S83" s="6"/>
      <c r="T83" s="6"/>
      <c r="U83" s="6"/>
      <c r="V83" s="6"/>
      <c r="X83" s="14"/>
      <c r="Y83" s="98" t="s">
        <v>60</v>
      </c>
      <c r="Z83" s="19"/>
      <c r="AA83" s="19"/>
      <c r="AB83" s="19"/>
      <c r="AC83" s="43"/>
      <c r="AE83" s="80"/>
      <c r="AF83" s="81"/>
      <c r="AG83" s="45"/>
      <c r="AH83" s="55"/>
    </row>
    <row r="84" spans="6:34" x14ac:dyDescent="0.3">
      <c r="O84" s="57"/>
      <c r="Y84" s="43"/>
      <c r="Z84" s="43"/>
      <c r="AA84" s="43"/>
      <c r="AB84" s="43"/>
      <c r="AC84" s="43"/>
      <c r="AG84" s="55"/>
      <c r="AH84" s="55"/>
    </row>
    <row r="85" spans="6:34" x14ac:dyDescent="0.3">
      <c r="J85" s="94"/>
      <c r="L85" s="14"/>
      <c r="M85" s="6"/>
      <c r="N85" s="6"/>
      <c r="O85" s="6"/>
      <c r="P85" s="6"/>
      <c r="X85" s="14"/>
      <c r="Y85" s="19"/>
      <c r="Z85" s="19"/>
      <c r="AA85" s="19"/>
      <c r="AB85" s="19"/>
      <c r="AC85" s="43"/>
      <c r="AE85" s="82"/>
      <c r="AF85" s="85"/>
      <c r="AG85" s="56"/>
      <c r="AH85" s="55"/>
    </row>
    <row r="86" spans="6:34" x14ac:dyDescent="0.3">
      <c r="G86" s="2" t="s">
        <v>57</v>
      </c>
      <c r="H86" s="90"/>
      <c r="Y86" s="39"/>
      <c r="Z86" s="43"/>
      <c r="AA86" s="43"/>
      <c r="AB86" s="43"/>
      <c r="AC86" s="43"/>
      <c r="AE86" s="82"/>
      <c r="AF86" s="85"/>
      <c r="AG86" s="56"/>
      <c r="AH86" s="55"/>
    </row>
    <row r="87" spans="6:34" x14ac:dyDescent="0.3">
      <c r="G87" s="2" t="s">
        <v>28</v>
      </c>
      <c r="M87" s="2" t="s">
        <v>0</v>
      </c>
      <c r="S87" s="2" t="s">
        <v>3</v>
      </c>
      <c r="Y87" s="49" t="s">
        <v>29</v>
      </c>
      <c r="Z87" s="43"/>
      <c r="AA87" s="43"/>
      <c r="AB87" s="43"/>
      <c r="AC87" s="43"/>
      <c r="AG87" s="55"/>
      <c r="AH87" s="55"/>
    </row>
    <row r="88" spans="6:34" ht="15" thickBot="1" x14ac:dyDescent="0.35">
      <c r="G88" s="37" t="str">
        <f>IF(NOT(ISNUMBER(M89*M90*M91*M92*M93*N90*N91*N92*N93*O91*O92*O93*P92*P93*Q93)),"MATRIX MUST BE POSITIVE DEFINITE","")</f>
        <v/>
      </c>
      <c r="H88" s="38"/>
      <c r="I88" s="38"/>
      <c r="J88" s="38"/>
      <c r="K88" s="38"/>
      <c r="Y88" s="174" t="str">
        <f>IF(NOT(ISNUMBER(Y90*Y91*Y92*Y93*Z91*Z92*Z93*AA92*AA93*AB93)),"ALL CELLS MUST BE 1E-16&lt;#&lt;[1.0 - 1E-16].",IF(OR(NOT(AND($AF$26&lt;Y90,Y90&lt;(1-$AF$26))),NOT(AND($AF$26&lt;Y91,Y91&lt;(1-$AF$26))),NOT(AND($AF$26&lt;Y92,Y92&lt;(1-$AF$26))),NOT(AND($AF$26&lt;Y93,Y93&lt;(1-$AF$26))),NOT(AND($AF$26&lt;Z91,Z91&lt;(1-$AF$26))),NOT(AND($AF$26&lt;Z92,Z92&lt;(1-$AF$26))),NOT(AND($AF$26&lt;Z93,Z93&lt;(1-$AF$26))),NOT(AND($AF$26&lt;AA92,AA92&lt;(1-$AF$26))),NOT(AND($AF$26&lt;AA93,AA93&lt;(1-$AF$26))),NOT(AND($AF$26&lt;AB93,AB93&lt;(1-$AF$26)))),"ALL CELLS MUST BE 1E-16&lt;#&lt;[1.0 - 1E-16].",""))</f>
        <v/>
      </c>
      <c r="Z88" s="43"/>
      <c r="AA88" s="43"/>
      <c r="AB88" s="43"/>
      <c r="AC88" s="43"/>
      <c r="AE88" s="55"/>
      <c r="AF88" s="60" t="s">
        <v>13</v>
      </c>
      <c r="AG88" s="55"/>
      <c r="AH88" s="55"/>
    </row>
    <row r="89" spans="6:34" ht="15.6" thickTop="1" thickBot="1" x14ac:dyDescent="0.35">
      <c r="F89" s="34"/>
      <c r="G89" s="106">
        <v>1</v>
      </c>
      <c r="H89" s="29">
        <f>G90</f>
        <v>0.17608919313381383</v>
      </c>
      <c r="I89" s="29">
        <f>G91</f>
        <v>0.17608919313381383</v>
      </c>
      <c r="J89" s="29">
        <f>G92</f>
        <v>0.17608919313381383</v>
      </c>
      <c r="K89" s="29">
        <f>G93</f>
        <v>0.17608919313381383</v>
      </c>
      <c r="L89" s="36"/>
      <c r="M89" s="15">
        <f>SQRT(G89)</f>
        <v>1</v>
      </c>
      <c r="N89" s="24">
        <v>0</v>
      </c>
      <c r="O89" s="24">
        <v>0</v>
      </c>
      <c r="P89" s="24">
        <v>0</v>
      </c>
      <c r="Q89" s="25">
        <v>0</v>
      </c>
      <c r="R89" s="6"/>
      <c r="S89" s="15"/>
      <c r="T89" s="16"/>
      <c r="U89" s="16"/>
      <c r="V89" s="16"/>
      <c r="W89" s="17"/>
      <c r="X89" s="66"/>
      <c r="Y89" s="147"/>
      <c r="Z89" s="148">
        <f>Y90</f>
        <v>2.528578544461757E-3</v>
      </c>
      <c r="AA89" s="148">
        <f>Y91</f>
        <v>2.528578544461757E-3</v>
      </c>
      <c r="AB89" s="148">
        <f>Y92</f>
        <v>2.528578544461757E-3</v>
      </c>
      <c r="AC89" s="149">
        <f>Y93</f>
        <v>2.528578544461757E-3</v>
      </c>
      <c r="AE89" s="55"/>
      <c r="AF89" s="2" t="s">
        <v>11</v>
      </c>
      <c r="AG89" s="55"/>
      <c r="AH89" s="55"/>
    </row>
    <row r="90" spans="6:34" ht="15.6" thickTop="1" thickBot="1" x14ac:dyDescent="0.35">
      <c r="F90" s="34"/>
      <c r="G90" s="107">
        <f>$Y$50</f>
        <v>0.17608919313381383</v>
      </c>
      <c r="H90" s="106">
        <v>1</v>
      </c>
      <c r="I90" s="29">
        <f>H91</f>
        <v>0.17608919313381383</v>
      </c>
      <c r="J90" s="29">
        <f>H92</f>
        <v>0.17608919313381383</v>
      </c>
      <c r="K90" s="29">
        <f>H93</f>
        <v>0.17608919313381383</v>
      </c>
      <c r="L90" s="36"/>
      <c r="M90" s="18">
        <f>G90/M89</f>
        <v>0.17608919313381383</v>
      </c>
      <c r="N90" s="19">
        <f>SQRT(H90-M90^2)</f>
        <v>0.984374215459488</v>
      </c>
      <c r="O90" s="26">
        <v>0</v>
      </c>
      <c r="P90" s="26">
        <v>0</v>
      </c>
      <c r="Q90" s="27">
        <v>0</v>
      </c>
      <c r="R90" s="6"/>
      <c r="S90" s="18">
        <f>ACOS(M90)</f>
        <v>1.3937841850927182</v>
      </c>
      <c r="T90" s="19"/>
      <c r="U90" s="19"/>
      <c r="V90" s="19"/>
      <c r="W90" s="20"/>
      <c r="X90" s="66"/>
      <c r="Y90" s="150">
        <f>IF(S90=PI()/2,0.5,IF(S90&lt;PI()/2,0.5-0.5*_xlfn.BETA.DIST(COS(S90)^2,0.5,(1+Y$65+$D$21-5-2)/2,TRUE),0.5+0.5*_xlfn.BETA.DIST(COS(S90)^2,0.5,(1+Y$65+$D$21-5-2)/2,TRUE)))</f>
        <v>2.528578544461757E-3</v>
      </c>
      <c r="Z90" s="39"/>
      <c r="AA90" s="28">
        <f>Z91</f>
        <v>8.806982923035056E-3</v>
      </c>
      <c r="AB90" s="28">
        <f>Z92</f>
        <v>8.806982923035056E-3</v>
      </c>
      <c r="AC90" s="151">
        <f>Z93</f>
        <v>8.806982923035056E-3</v>
      </c>
      <c r="AF90" s="63">
        <f>IF($G$110="",LN(MAX(2*MIN(Y90,1-Y90),$AF$26))+LN(MAX(2*MIN(Y91,1-Y91),$AF$26))+LN(MAX(2*MIN(Y92,1-Y92),$AF$26))+LN(MAX(2*MIN(Y93,1-Y93),$AF$26))+LN(MAX(2*MIN(Z91,1-Z91),$AF$26))+LN(MAX(2*MIN(Z92,1-Z92),$AF$26))+LN(MAX(2*MIN(Z93,1-Z93),$AF$26))+LN(MAX(2*MIN(AA92,1-AA92),$AF$26))+LN(MAX(2*MIN(AA93,1-AA93),$AF$26))+LN(MAX(2*MIN(AB93,1-AB93),$AF$26)),"ERR")</f>
        <v>-42.387192305752265</v>
      </c>
      <c r="AG90" s="55"/>
      <c r="AH90" s="55"/>
    </row>
    <row r="91" spans="6:34" ht="15" thickTop="1" x14ac:dyDescent="0.3">
      <c r="F91" s="34"/>
      <c r="G91" s="107">
        <f t="shared" ref="G91:I93" si="13">$Y$50</f>
        <v>0.17608919313381383</v>
      </c>
      <c r="H91" s="107">
        <f t="shared" si="13"/>
        <v>0.17608919313381383</v>
      </c>
      <c r="I91" s="106">
        <v>1</v>
      </c>
      <c r="J91" s="29">
        <f>I92</f>
        <v>0.17608919313381383</v>
      </c>
      <c r="K91" s="29">
        <f>I93</f>
        <v>0.17608919313381383</v>
      </c>
      <c r="L91" s="36"/>
      <c r="M91" s="18">
        <f>G91/M89</f>
        <v>0.17608919313381383</v>
      </c>
      <c r="N91" s="19">
        <f>(H91-M91*M90)/N90</f>
        <v>0.1473847922028054</v>
      </c>
      <c r="O91" s="19">
        <f>SQRT(I91-(N91^2+M91^2))</f>
        <v>0.97327813038659117</v>
      </c>
      <c r="P91" s="26">
        <v>0</v>
      </c>
      <c r="Q91" s="27">
        <v>0</v>
      </c>
      <c r="R91" s="6"/>
      <c r="S91" s="18">
        <f>ACOS(M91)</f>
        <v>1.3937841850927182</v>
      </c>
      <c r="T91" s="19">
        <f>ACOS(N91/(SIN(S91)))</f>
        <v>1.4205068498105509</v>
      </c>
      <c r="U91" s="19"/>
      <c r="V91" s="19"/>
      <c r="W91" s="20"/>
      <c r="X91" s="66"/>
      <c r="Y91" s="150">
        <f>IF(S91=PI()/2,0.5,IF(S91&lt;PI()/2,0.5-0.5*_xlfn.BETA.DIST(COS(S91)^2,0.5,(1+Y$65+$D$21-5-2)/2,TRUE),0.5+0.5*_xlfn.BETA.DIST(COS(S91)^2,0.5,(1+Y$65+$D$21-5-2)/2,TRUE)))</f>
        <v>2.528578544461757E-3</v>
      </c>
      <c r="Z91" s="152">
        <f>IF(T91=PI()/2,0.5,IF(T91&lt;PI()/2,0.5-0.5*_xlfn.BETA.DIST(COS(T91)^2,0.5,(1+Z$65+$D$21-5-2)/2,TRUE),0.5+0.5*_xlfn.BETA.DIST(COS(T91)^2,0.5,(1+Z$65+$D$21-5-2)/2,TRUE)))</f>
        <v>8.806982923035056E-3</v>
      </c>
      <c r="AA91" s="39"/>
      <c r="AB91" s="28">
        <f>AA92</f>
        <v>1.9818628396926052E-2</v>
      </c>
      <c r="AC91" s="151">
        <f>AA93</f>
        <v>1.9818628396926052E-2</v>
      </c>
      <c r="AG91" s="55"/>
      <c r="AH91" s="55"/>
    </row>
    <row r="92" spans="6:34" x14ac:dyDescent="0.3">
      <c r="F92" s="34"/>
      <c r="G92" s="107">
        <f t="shared" si="13"/>
        <v>0.17608919313381383</v>
      </c>
      <c r="H92" s="107">
        <f t="shared" si="13"/>
        <v>0.17608919313381383</v>
      </c>
      <c r="I92" s="107">
        <f t="shared" si="13"/>
        <v>0.17608919313381383</v>
      </c>
      <c r="J92" s="106">
        <v>1</v>
      </c>
      <c r="K92" s="29">
        <f>J93</f>
        <v>0.17608919313381383</v>
      </c>
      <c r="L92" s="36"/>
      <c r="M92" s="18">
        <f>G92/M89</f>
        <v>0.17608919313381383</v>
      </c>
      <c r="N92" s="19">
        <f>(H92-M92*M91)/N90</f>
        <v>0.1473847922028054</v>
      </c>
      <c r="O92" s="19">
        <f>(I92-(M91*M92+N91*N92))/O91</f>
        <v>0.12674641335425166</v>
      </c>
      <c r="P92" s="19">
        <f>SQRT(J92-(O92^2+N92^2+M92^2))</f>
        <v>0.96498998222295107</v>
      </c>
      <c r="Q92" s="27">
        <v>0</v>
      </c>
      <c r="R92" s="6"/>
      <c r="S92" s="18">
        <f>ACOS(M92)</f>
        <v>1.3937841850927182</v>
      </c>
      <c r="T92" s="19">
        <f>ACOS(N92/(SIN(S92)))</f>
        <v>1.4205068498105509</v>
      </c>
      <c r="U92" s="19">
        <f>ACOS(O92/(SIN(T92)*SIN(S92)))</f>
        <v>1.4401991031632968</v>
      </c>
      <c r="V92" s="19"/>
      <c r="W92" s="20"/>
      <c r="X92" s="66"/>
      <c r="Y92" s="150">
        <f>IF(S92=PI()/2,0.5,IF(S92&lt;PI()/2,0.5-0.5*_xlfn.BETA.DIST(COS(S92)^2,0.5,(1+Y$65+$D$21-5-2)/2,TRUE),0.5+0.5*_xlfn.BETA.DIST(COS(S92)^2,0.5,(1+Y$65+$D$21-5-2)/2,TRUE)))</f>
        <v>2.528578544461757E-3</v>
      </c>
      <c r="Z92" s="152">
        <f>IF(T92=PI()/2,0.5,IF(T92&lt;PI()/2,0.5-0.5*_xlfn.BETA.DIST(COS(T92)^2,0.5,(1+Z$65+$D$21-5-2)/2,TRUE),0.5+0.5*_xlfn.BETA.DIST(COS(T92)^2,0.5,(1+Z$65+$D$21-5-2)/2,TRUE)))</f>
        <v>8.806982923035056E-3</v>
      </c>
      <c r="AA92" s="152">
        <f>IF(U92=PI()/2,0.5,IF(U92&lt;PI()/2,0.5-0.5*_xlfn.BETA.DIST(COS(U92)^2,0.5,(1+AA$65+$D$21-5-2)/2,TRUE),0.5+0.5*_xlfn.BETA.DIST(COS(U92)^2,0.5,(1+AA$65+$D$21-5-2)/2,TRUE)))</f>
        <v>1.9818628396926052E-2</v>
      </c>
      <c r="AB92" s="39"/>
      <c r="AC92" s="151">
        <f>AB93</f>
        <v>3.4756967314045761E-2</v>
      </c>
      <c r="AE92" s="10"/>
      <c r="AG92" s="67"/>
      <c r="AH92" s="1"/>
    </row>
    <row r="93" spans="6:34" ht="15" thickBot="1" x14ac:dyDescent="0.35">
      <c r="F93" s="34"/>
      <c r="G93" s="107">
        <f t="shared" si="13"/>
        <v>0.17608919313381383</v>
      </c>
      <c r="H93" s="107">
        <f t="shared" si="13"/>
        <v>0.17608919313381383</v>
      </c>
      <c r="I93" s="107">
        <f t="shared" si="13"/>
        <v>0.17608919313381383</v>
      </c>
      <c r="J93" s="107">
        <f>$Y$50</f>
        <v>0.17608919313381383</v>
      </c>
      <c r="K93" s="106">
        <v>1</v>
      </c>
      <c r="L93" s="36"/>
      <c r="M93" s="21">
        <f>G93/M89</f>
        <v>0.17608919313381383</v>
      </c>
      <c r="N93" s="22">
        <f>(H93-M93*M92)/N90</f>
        <v>0.1473847922028054</v>
      </c>
      <c r="O93" s="22">
        <f>(I93-(M91*M93+N91*N93))/O91</f>
        <v>0.12674641335425166</v>
      </c>
      <c r="P93" s="22">
        <f>(J93-(M92*M93+N92*N93+O92*O93))/P92</f>
        <v>0.11118753655587267</v>
      </c>
      <c r="Q93" s="23">
        <f>SQRT(K93-(M93^2+N93^2+O93^2+P93^2))</f>
        <v>0.95856298567453979</v>
      </c>
      <c r="R93" s="6"/>
      <c r="S93" s="21">
        <f>ACOS(M93)</f>
        <v>1.3937841850927182</v>
      </c>
      <c r="T93" s="22">
        <f>ACOS(N93/(SIN(S93)))</f>
        <v>1.4205068498105509</v>
      </c>
      <c r="U93" s="22">
        <f>ACOS(O93/(SIN(T93)*SIN(S93)))</f>
        <v>1.4401991031632968</v>
      </c>
      <c r="V93" s="22">
        <f>ACOS(P93/(SIN(U93)*SIN(T93)*SIN(S93)))</f>
        <v>1.4553184040200424</v>
      </c>
      <c r="W93" s="23"/>
      <c r="X93" s="66"/>
      <c r="Y93" s="153">
        <f>IF(S93=PI()/2,0.5,IF(S93&lt;PI()/2,0.5-0.5*_xlfn.BETA.DIST(COS(S93)^2,0.5,(1+Y$65+$D$21-5-2)/2,TRUE),0.5+0.5*_xlfn.BETA.DIST(COS(S93)^2,0.5,(1+Y$65+$D$21-5-2)/2,TRUE)))</f>
        <v>2.528578544461757E-3</v>
      </c>
      <c r="Z93" s="154">
        <f>IF(T93=PI()/2,0.5,IF(T93&lt;PI()/2,0.5-0.5*_xlfn.BETA.DIST(COS(T93)^2,0.5,(1+Z$65+$D$21-5-2)/2,TRUE),0.5+0.5*_xlfn.BETA.DIST(COS(T93)^2,0.5,(1+Z$65+$D$21-5-2)/2,TRUE)))</f>
        <v>8.806982923035056E-3</v>
      </c>
      <c r="AA93" s="154">
        <f>IF(U93=PI()/2,0.5,IF(U93&lt;PI()/2,0.5-0.5*_xlfn.BETA.DIST(COS(U93)^2,0.5,(1+AA$65+$D$21-5-2)/2,TRUE),0.5+0.5*_xlfn.BETA.DIST(COS(U93)^2,0.5,(1+AA$65+$D$21-5-2)/2,TRUE)))</f>
        <v>1.9818628396926052E-2</v>
      </c>
      <c r="AB93" s="154">
        <f>IF(V93=PI()/2,0.5,IF(V93&lt;PI()/2,0.5-0.5*_xlfn.BETA.DIST(COS(V93)^2,0.5,(1+AB$65+$D$21-5-2)/2,TRUE),0.5+0.5*_xlfn.BETA.DIST(COS(V93)^2,0.5,(1+AB$65+$D$21-5-2)/2,TRUE)))</f>
        <v>3.4756967314045761E-2</v>
      </c>
      <c r="AC93" s="155"/>
      <c r="AE93" s="80"/>
      <c r="AF93" s="81"/>
      <c r="AG93" s="45"/>
      <c r="AH93" s="1"/>
    </row>
    <row r="94" spans="6:34" ht="15" thickTop="1" x14ac:dyDescent="0.3">
      <c r="G94" s="35"/>
      <c r="H94" s="35"/>
      <c r="I94" s="35"/>
      <c r="J94" s="35"/>
      <c r="K94" s="35"/>
      <c r="L94" s="14"/>
      <c r="M94" s="6"/>
      <c r="N94" s="6"/>
      <c r="O94" s="6"/>
      <c r="P94" s="6"/>
      <c r="R94" s="14"/>
      <c r="S94" s="6"/>
      <c r="T94" s="6"/>
      <c r="U94" s="6"/>
      <c r="V94" s="6"/>
      <c r="X94" s="14"/>
      <c r="Y94" s="19"/>
      <c r="Z94" s="19"/>
      <c r="AA94" s="19"/>
      <c r="AB94" s="19"/>
      <c r="AC94" s="43"/>
      <c r="AE94" s="80"/>
      <c r="AF94" s="81"/>
      <c r="AG94" s="45"/>
      <c r="AH94" s="55"/>
    </row>
    <row r="95" spans="6:34" x14ac:dyDescent="0.3">
      <c r="G95" s="2" t="s">
        <v>57</v>
      </c>
      <c r="L95" s="14"/>
      <c r="M95" s="6"/>
      <c r="N95" s="6"/>
      <c r="O95" s="6"/>
      <c r="P95" s="6"/>
      <c r="R95" s="14"/>
      <c r="S95" s="6"/>
      <c r="T95" s="6"/>
      <c r="U95" s="6"/>
      <c r="V95" s="6"/>
      <c r="X95" s="14"/>
      <c r="Y95" s="19"/>
      <c r="Z95" s="19"/>
      <c r="AA95" s="19"/>
      <c r="AB95" s="19"/>
      <c r="AC95" s="43"/>
      <c r="AE95" s="80"/>
      <c r="AF95" s="81"/>
      <c r="AG95" s="45"/>
      <c r="AH95" s="55"/>
    </row>
    <row r="96" spans="6:34" x14ac:dyDescent="0.3">
      <c r="G96" s="2" t="s">
        <v>28</v>
      </c>
      <c r="M96" s="2" t="s">
        <v>0</v>
      </c>
      <c r="S96" s="2" t="s">
        <v>3</v>
      </c>
      <c r="Y96" s="49" t="s">
        <v>30</v>
      </c>
      <c r="Z96" s="43"/>
      <c r="AA96" s="43"/>
      <c r="AB96" s="43"/>
      <c r="AC96" s="43"/>
      <c r="AG96" s="55"/>
      <c r="AH96" s="55"/>
    </row>
    <row r="97" spans="5:34" ht="15" thickBot="1" x14ac:dyDescent="0.35">
      <c r="G97" s="37" t="str">
        <f>IF(NOT(ISNUMBER(M98*M99*M100*M101*M102*N99*N100*N101*N102*O100*O101*O102*P101*P102*Q102)),"MATRIX MUST BE POSITIVE DEFINITE","")</f>
        <v/>
      </c>
      <c r="H97" s="38"/>
      <c r="I97" s="38"/>
      <c r="J97" s="38"/>
      <c r="K97" s="38"/>
      <c r="Y97" s="174" t="str">
        <f>IF(NOT(ISNUMBER(Y99*Y100*Y101*Y102*Z100*Z101*Z102*AA101*AA102*AB102)),"ALL CELLS MUST BE 1E-16&lt;#&lt;[1.0 - 1E-16].",IF(OR(NOT(AND($AF$26&lt;Y99,Y99&lt;(1-$AF$26))),NOT(AND($AF$26&lt;Y100,Y100&lt;(1-$AF$26))),NOT(AND($AF$26&lt;Y101,Y101&lt;(1-$AF$26))),NOT(AND($AF$26&lt;Y102,Y102&lt;(1-$AF$26))),NOT(AND($AF$26&lt;Z100,Z100&lt;(1-$AF$26))),NOT(AND($AF$26&lt;Z101,Z101&lt;(1-$AF$26))),NOT(AND($AF$26&lt;Z102,Z102&lt;(1-$AF$26))),NOT(AND($AF$26&lt;AA101,AA101&lt;(1-$AF$26))),NOT(AND($AF$26&lt;AA102,AA102&lt;(1-$AF$26))),NOT(AND($AF$26&lt;AB102,AB102&lt;(1-$AF$26)))),"ALL CELLS MUST BE 1E-16&lt;#&lt;[1.0 - 1E-16].",""))</f>
        <v/>
      </c>
      <c r="Z97" s="43"/>
      <c r="AA97" s="43"/>
      <c r="AB97" s="43"/>
      <c r="AC97" s="43"/>
      <c r="AE97" s="55"/>
      <c r="AF97" s="60" t="s">
        <v>13</v>
      </c>
      <c r="AG97" s="55"/>
      <c r="AH97" s="55"/>
    </row>
    <row r="98" spans="5:34" ht="15.6" thickTop="1" thickBot="1" x14ac:dyDescent="0.35">
      <c r="F98" s="34"/>
      <c r="G98" s="156">
        <v>1</v>
      </c>
      <c r="H98" s="167">
        <f>G99</f>
        <v>-0.17608919313381369</v>
      </c>
      <c r="I98" s="167">
        <f>G100</f>
        <v>-0.17608919313381369</v>
      </c>
      <c r="J98" s="167">
        <f>G101</f>
        <v>-0.17608919313381369</v>
      </c>
      <c r="K98" s="168">
        <f>G102</f>
        <v>-0.17608919313381369</v>
      </c>
      <c r="L98" s="36"/>
      <c r="M98" s="15">
        <f>SQRT(G98)</f>
        <v>1</v>
      </c>
      <c r="N98" s="24">
        <v>0</v>
      </c>
      <c r="O98" s="24">
        <v>0</v>
      </c>
      <c r="P98" s="24">
        <v>0</v>
      </c>
      <c r="Q98" s="25">
        <v>0</v>
      </c>
      <c r="R98" s="6"/>
      <c r="S98" s="15"/>
      <c r="T98" s="16"/>
      <c r="U98" s="16"/>
      <c r="V98" s="16"/>
      <c r="W98" s="17"/>
      <c r="X98" s="66"/>
      <c r="Y98" s="147"/>
      <c r="Z98" s="148">
        <f>Y99</f>
        <v>0.99747142145553824</v>
      </c>
      <c r="AA98" s="148">
        <f>Y100</f>
        <v>0.99747142145553824</v>
      </c>
      <c r="AB98" s="148">
        <f>Y101</f>
        <v>0.99747142145553824</v>
      </c>
      <c r="AC98" s="149">
        <f>Y102</f>
        <v>0.99747142145553824</v>
      </c>
      <c r="AE98" s="55"/>
      <c r="AF98" s="2" t="s">
        <v>11</v>
      </c>
      <c r="AG98" s="55"/>
      <c r="AH98" s="55"/>
    </row>
    <row r="99" spans="5:34" ht="15.6" thickTop="1" thickBot="1" x14ac:dyDescent="0.35">
      <c r="F99" s="34"/>
      <c r="G99" s="169">
        <f>$Y$58</f>
        <v>-0.17608919313381369</v>
      </c>
      <c r="H99" s="106">
        <v>1</v>
      </c>
      <c r="I99" s="29">
        <f>H100</f>
        <v>-0.17608919313381369</v>
      </c>
      <c r="J99" s="29">
        <f>H101</f>
        <v>-0.17608919313381369</v>
      </c>
      <c r="K99" s="170">
        <f>H102</f>
        <v>-0.17608919313381369</v>
      </c>
      <c r="L99" s="36"/>
      <c r="M99" s="18">
        <f>G99/M98</f>
        <v>-0.17608919313381369</v>
      </c>
      <c r="N99" s="19">
        <f>SQRT(H99-M99^2)</f>
        <v>0.984374215459488</v>
      </c>
      <c r="O99" s="26">
        <v>0</v>
      </c>
      <c r="P99" s="26">
        <v>0</v>
      </c>
      <c r="Q99" s="27">
        <v>0</v>
      </c>
      <c r="R99" s="6"/>
      <c r="S99" s="18">
        <f>ACOS(M99)</f>
        <v>1.7478084684970749</v>
      </c>
      <c r="T99" s="19"/>
      <c r="U99" s="19"/>
      <c r="V99" s="19"/>
      <c r="W99" s="20"/>
      <c r="X99" s="66"/>
      <c r="Y99" s="150">
        <f>IF(S99=PI()/2,0.5,IF(S99&lt;PI()/2,0.5-0.5*_xlfn.BETA.DIST(COS(S99)^2,0.5,(1+Y$65+$D$21-5-2)/2,TRUE),0.5+0.5*_xlfn.BETA.DIST(COS(S99)^2,0.5,(1+Y$65+$D$21-5-2)/2,TRUE)))</f>
        <v>0.99747142145553824</v>
      </c>
      <c r="Z99" s="39"/>
      <c r="AA99" s="28">
        <f>Z100</f>
        <v>0.99967349797995009</v>
      </c>
      <c r="AB99" s="28">
        <f>Z101</f>
        <v>0.99967349797995009</v>
      </c>
      <c r="AC99" s="151">
        <f>Z102</f>
        <v>0.99967349797995009</v>
      </c>
      <c r="AF99" s="63">
        <f>IF($G$110="",LN(MAX(2*MIN(Y99,1-Y99),$AF$26))+LN(MAX(2*MIN(Y100,1-Y100),$AF$26))+LN(MAX(2*MIN(Y101,1-Y101),$AF$26))+LN(MAX(2*MIN(Y102,1-Y102),$AF$26))+LN(MAX(2*MIN(Z100,1-Z100),$AF$26))+LN(MAX(2*MIN(Z101,1-Z101),$AF$26))+LN(MAX(2*MIN(Z102,1-Z102),$AF$26))+LN(MAX(2*MIN(AA101,1-AA101),$AF$26))+LN(MAX(2*MIN(AA102,1-AA102),$AF$26))+LN(MAX(2*MIN(AB102,1-AB102),$AF$26)),"ERR")</f>
        <v>-86.188409018520574</v>
      </c>
      <c r="AG99" s="55"/>
      <c r="AH99" s="55"/>
    </row>
    <row r="100" spans="5:34" ht="15" thickTop="1" x14ac:dyDescent="0.3">
      <c r="F100" s="34"/>
      <c r="G100" s="169">
        <f t="shared" ref="G100:I102" si="14">$Y$58</f>
        <v>-0.17608919313381369</v>
      </c>
      <c r="H100" s="107">
        <f t="shared" si="14"/>
        <v>-0.17608919313381369</v>
      </c>
      <c r="I100" s="106">
        <v>1</v>
      </c>
      <c r="J100" s="29">
        <f>I101</f>
        <v>-0.17608919313381369</v>
      </c>
      <c r="K100" s="170">
        <f>I102</f>
        <v>-0.17608919313381369</v>
      </c>
      <c r="L100" s="36"/>
      <c r="M100" s="18">
        <f>G100/M98</f>
        <v>-0.17608919313381369</v>
      </c>
      <c r="N100" s="19">
        <f>(H100-M100*M99)/N99</f>
        <v>-0.2103840123196058</v>
      </c>
      <c r="O100" s="19">
        <f>SQRT(I100-(N100^2+M100^2))</f>
        <v>0.96162943144528723</v>
      </c>
      <c r="P100" s="26">
        <v>0</v>
      </c>
      <c r="Q100" s="27">
        <v>0</v>
      </c>
      <c r="R100" s="6"/>
      <c r="S100" s="18">
        <f>ACOS(M100)</f>
        <v>1.7478084684970749</v>
      </c>
      <c r="T100" s="19">
        <f>ACOS(N100/(SIN(S100)))</f>
        <v>1.7861813913171072</v>
      </c>
      <c r="U100" s="19"/>
      <c r="V100" s="19"/>
      <c r="W100" s="20"/>
      <c r="X100" s="66"/>
      <c r="Y100" s="150">
        <f>IF(S100=PI()/2,0.5,IF(S100&lt;PI()/2,0.5-0.5*_xlfn.BETA.DIST(COS(S100)^2,0.5,(1+Y$65+$D$21-5-2)/2,TRUE),0.5+0.5*_xlfn.BETA.DIST(COS(S100)^2,0.5,(1+Y$65+$D$21-5-2)/2,TRUE)))</f>
        <v>0.99747142145553824</v>
      </c>
      <c r="Z100" s="152">
        <f>IF(T100=PI()/2,0.5,IF(T100&lt;PI()/2,0.5-0.5*_xlfn.BETA.DIST(COS(T100)^2,0.5,(1+Z$65+$D$21-5-2)/2,TRUE),0.5+0.5*_xlfn.BETA.DIST(COS(T100)^2,0.5,(1+Z$65+$D$21-5-2)/2,TRUE)))</f>
        <v>0.99967349797995009</v>
      </c>
      <c r="AA100" s="39"/>
      <c r="AB100" s="28">
        <f>AA101</f>
        <v>0.99999345560622865</v>
      </c>
      <c r="AC100" s="151">
        <f>AA102</f>
        <v>0.99999345560622865</v>
      </c>
      <c r="AG100" s="55"/>
      <c r="AH100" s="55"/>
    </row>
    <row r="101" spans="5:34" x14ac:dyDescent="0.3">
      <c r="F101" s="34"/>
      <c r="G101" s="169">
        <f t="shared" si="14"/>
        <v>-0.17608919313381369</v>
      </c>
      <c r="H101" s="107">
        <f t="shared" si="14"/>
        <v>-0.17608919313381369</v>
      </c>
      <c r="I101" s="107">
        <f t="shared" si="14"/>
        <v>-0.17608919313381369</v>
      </c>
      <c r="J101" s="106">
        <v>1</v>
      </c>
      <c r="K101" s="170">
        <f>J102</f>
        <v>-0.17608919313381369</v>
      </c>
      <c r="L101" s="36"/>
      <c r="M101" s="18">
        <f>G101/M98</f>
        <v>-0.17608919313381369</v>
      </c>
      <c r="N101" s="19">
        <f>(H101-M101*M100)/N99</f>
        <v>-0.2103840123196058</v>
      </c>
      <c r="O101" s="19">
        <f>(I101-(M100*M101+N100*N101))/O100</f>
        <v>-0.26138762135664573</v>
      </c>
      <c r="P101" s="19">
        <f>SQRT(J101-(O101^2+N101^2+M101^2))</f>
        <v>0.92542297076704405</v>
      </c>
      <c r="Q101" s="27">
        <v>0</v>
      </c>
      <c r="R101" s="6"/>
      <c r="S101" s="18">
        <f>ACOS(M101)</f>
        <v>1.7478084684970749</v>
      </c>
      <c r="T101" s="19">
        <f>ACOS(N101/(SIN(S101)))</f>
        <v>1.7861813913171072</v>
      </c>
      <c r="U101" s="19">
        <f>ACOS(O101/(SIN(T101)*SIN(S101)))</f>
        <v>1.8460773706521745</v>
      </c>
      <c r="V101" s="19"/>
      <c r="W101" s="20"/>
      <c r="X101" s="66"/>
      <c r="Y101" s="150">
        <f>IF(S101=PI()/2,0.5,IF(S101&lt;PI()/2,0.5-0.5*_xlfn.BETA.DIST(COS(S101)^2,0.5,(1+Y$65+$D$21-5-2)/2,TRUE),0.5+0.5*_xlfn.BETA.DIST(COS(S101)^2,0.5,(1+Y$65+$D$21-5-2)/2,TRUE)))</f>
        <v>0.99747142145553824</v>
      </c>
      <c r="Z101" s="152">
        <f>IF(T101=PI()/2,0.5,IF(T101&lt;PI()/2,0.5-0.5*_xlfn.BETA.DIST(COS(T101)^2,0.5,(1+Z$65+$D$21-5-2)/2,TRUE),0.5+0.5*_xlfn.BETA.DIST(COS(T101)^2,0.5,(1+Z$65+$D$21-5-2)/2,TRUE)))</f>
        <v>0.99967349797995009</v>
      </c>
      <c r="AA101" s="152">
        <f>IF(U101=PI()/2,0.5,IF(U101&lt;PI()/2,0.5-0.5*_xlfn.BETA.DIST(COS(U101)^2,0.5,(1+AA$65+$D$21-5-2)/2,TRUE),0.5+0.5*_xlfn.BETA.DIST(COS(U101)^2,0.5,(1+AA$65+$D$21-5-2)/2,TRUE)))</f>
        <v>0.99999345560622865</v>
      </c>
      <c r="AB101" s="39"/>
      <c r="AC101" s="151">
        <f>AB102</f>
        <v>0.99999999940619022</v>
      </c>
      <c r="AE101" s="10"/>
      <c r="AG101" s="67"/>
      <c r="AH101" s="1"/>
    </row>
    <row r="102" spans="5:34" ht="15" thickBot="1" x14ac:dyDescent="0.35">
      <c r="F102" s="34"/>
      <c r="G102" s="171">
        <f t="shared" si="14"/>
        <v>-0.17608919313381369</v>
      </c>
      <c r="H102" s="172">
        <f t="shared" si="14"/>
        <v>-0.17608919313381369</v>
      </c>
      <c r="I102" s="172">
        <f t="shared" si="14"/>
        <v>-0.17608919313381369</v>
      </c>
      <c r="J102" s="172">
        <f>$Y$58</f>
        <v>-0.17608919313381369</v>
      </c>
      <c r="K102" s="160">
        <v>1</v>
      </c>
      <c r="L102" s="36"/>
      <c r="M102" s="21">
        <f>G102/M98</f>
        <v>-0.17608919313381369</v>
      </c>
      <c r="N102" s="22">
        <f>(H102-M102*M101)/N99</f>
        <v>-0.2103840123196058</v>
      </c>
      <c r="O102" s="22">
        <f>(I102-(M100*M102+N100*N102))/O100</f>
        <v>-0.26138762135664573</v>
      </c>
      <c r="P102" s="22">
        <f>(J102-(M101*M102+N101*N102+O101*O102))/P101</f>
        <v>-0.34544368187180613</v>
      </c>
      <c r="Q102" s="23">
        <f>SQRT(K102-(M102^2+N102^2+O102^2+P102^2))</f>
        <v>0.85853150057417904</v>
      </c>
      <c r="R102" s="6"/>
      <c r="S102" s="21">
        <f>ACOS(M102)</f>
        <v>1.7478084684970749</v>
      </c>
      <c r="T102" s="22">
        <f>ACOS(N102/(SIN(S102)))</f>
        <v>1.7861813913171072</v>
      </c>
      <c r="U102" s="22">
        <f>ACOS(O102/(SIN(T102)*SIN(S102)))</f>
        <v>1.8460773706521745</v>
      </c>
      <c r="V102" s="22">
        <f>ACOS(P102/(SIN(U102)*SIN(T102)*SIN(S102)))</f>
        <v>1.9533404891435679</v>
      </c>
      <c r="W102" s="23"/>
      <c r="X102" s="66"/>
      <c r="Y102" s="153">
        <f>IF(S102=PI()/2,0.5,IF(S102&lt;PI()/2,0.5-0.5*_xlfn.BETA.DIST(COS(S102)^2,0.5,(1+Y$65+$D$21-5-2)/2,TRUE),0.5+0.5*_xlfn.BETA.DIST(COS(S102)^2,0.5,(1+Y$65+$D$21-5-2)/2,TRUE)))</f>
        <v>0.99747142145553824</v>
      </c>
      <c r="Z102" s="154">
        <f>IF(T102=PI()/2,0.5,IF(T102&lt;PI()/2,0.5-0.5*_xlfn.BETA.DIST(COS(T102)^2,0.5,(1+Z$65+$D$21-5-2)/2,TRUE),0.5+0.5*_xlfn.BETA.DIST(COS(T102)^2,0.5,(1+Z$65+$D$21-5-2)/2,TRUE)))</f>
        <v>0.99967349797995009</v>
      </c>
      <c r="AA102" s="154">
        <f>IF(U102=PI()/2,0.5,IF(U102&lt;PI()/2,0.5-0.5*_xlfn.BETA.DIST(COS(U102)^2,0.5,(1+AA$65+$D$21-5-2)/2,TRUE),0.5+0.5*_xlfn.BETA.DIST(COS(U102)^2,0.5,(1+AA$65+$D$21-5-2)/2,TRUE)))</f>
        <v>0.99999345560622865</v>
      </c>
      <c r="AB102" s="154">
        <f>IF(V102=PI()/2,0.5,IF(V102&lt;PI()/2,0.5-0.5*_xlfn.BETA.DIST(COS(V102)^2,0.5,(1+AB$65+$D$21-5-2)/2,TRUE),0.5+0.5*_xlfn.BETA.DIST(COS(V102)^2,0.5,(1+AB$65+$D$21-5-2)/2,TRUE)))</f>
        <v>0.99999999940619022</v>
      </c>
      <c r="AC102" s="155"/>
      <c r="AE102" s="80"/>
      <c r="AF102" s="81"/>
      <c r="AG102" s="45"/>
      <c r="AH102" s="1"/>
    </row>
    <row r="103" spans="5:34" ht="15" thickTop="1" x14ac:dyDescent="0.3">
      <c r="G103" s="98" t="s">
        <v>60</v>
      </c>
      <c r="L103" s="14"/>
      <c r="M103" s="6"/>
      <c r="N103" s="6"/>
      <c r="O103" s="6"/>
      <c r="P103" s="6"/>
      <c r="R103" s="14"/>
      <c r="S103" s="6"/>
      <c r="T103" s="6"/>
      <c r="U103" s="6"/>
      <c r="V103" s="6"/>
      <c r="X103" s="14"/>
      <c r="Y103" s="98" t="s">
        <v>60</v>
      </c>
      <c r="Z103" s="19"/>
      <c r="AA103" s="19"/>
      <c r="AB103" s="19"/>
      <c r="AC103" s="43"/>
      <c r="AE103" s="80"/>
      <c r="AF103" s="81"/>
      <c r="AG103" s="45"/>
      <c r="AH103" s="55"/>
    </row>
    <row r="104" spans="5:34" x14ac:dyDescent="0.3">
      <c r="G104" s="12"/>
      <c r="L104" s="14"/>
      <c r="M104" s="6"/>
      <c r="N104" s="6"/>
      <c r="O104" s="6"/>
      <c r="P104" s="6"/>
      <c r="R104" s="14"/>
      <c r="S104" s="6"/>
      <c r="T104" s="6"/>
      <c r="U104" s="6"/>
      <c r="V104" s="6"/>
      <c r="X104" s="14"/>
      <c r="Y104" s="12"/>
      <c r="Z104" s="19"/>
      <c r="AA104" s="19"/>
      <c r="AB104" s="19"/>
      <c r="AC104" s="43"/>
      <c r="AE104" s="80"/>
      <c r="AF104" s="81"/>
      <c r="AG104" s="45"/>
      <c r="AH104" s="55"/>
    </row>
    <row r="105" spans="5:34" x14ac:dyDescent="0.3">
      <c r="G105" s="1" t="s">
        <v>51</v>
      </c>
      <c r="L105" s="14"/>
      <c r="M105" s="6"/>
      <c r="N105" s="6"/>
      <c r="O105" s="6"/>
      <c r="P105" s="6"/>
      <c r="R105" s="14"/>
      <c r="S105" s="6"/>
      <c r="T105" s="6"/>
      <c r="U105" s="6"/>
      <c r="V105" s="6"/>
      <c r="X105" s="14"/>
      <c r="Y105" s="19"/>
      <c r="Z105" s="19"/>
      <c r="AA105" s="19"/>
      <c r="AB105" s="19"/>
      <c r="AC105" s="43"/>
      <c r="AE105" s="80"/>
      <c r="AF105" s="81"/>
      <c r="AG105" s="45"/>
      <c r="AH105" s="55"/>
    </row>
    <row r="106" spans="5:34" x14ac:dyDescent="0.3">
      <c r="L106" s="14"/>
      <c r="M106" s="6"/>
      <c r="N106" s="6"/>
      <c r="O106" s="6"/>
      <c r="P106" s="6"/>
      <c r="R106" s="14"/>
      <c r="S106" s="6"/>
      <c r="T106" s="6"/>
      <c r="U106" s="6"/>
      <c r="V106" s="6"/>
      <c r="X106" s="14"/>
      <c r="Y106" s="19"/>
      <c r="Z106" s="19"/>
      <c r="AA106" s="19"/>
      <c r="AB106" s="19"/>
      <c r="AC106" s="43"/>
      <c r="AE106" s="80"/>
      <c r="AF106" s="81"/>
      <c r="AG106" s="45"/>
      <c r="AH106" s="55"/>
    </row>
    <row r="107" spans="5:34" x14ac:dyDescent="0.3">
      <c r="G107" s="2" t="s">
        <v>52</v>
      </c>
      <c r="Y107" s="43"/>
      <c r="Z107" s="43"/>
      <c r="AA107" s="43"/>
      <c r="AB107" s="43"/>
      <c r="AC107" s="43"/>
    </row>
    <row r="108" spans="5:34" x14ac:dyDescent="0.3">
      <c r="G108" s="10" t="s">
        <v>1</v>
      </c>
      <c r="Y108" s="101" t="s">
        <v>18</v>
      </c>
      <c r="Z108" s="43"/>
      <c r="AA108" s="43"/>
      <c r="AB108" s="43"/>
      <c r="AC108" s="43"/>
    </row>
    <row r="109" spans="5:34" x14ac:dyDescent="0.3">
      <c r="G109" s="2" t="s">
        <v>7</v>
      </c>
      <c r="M109" s="2" t="s">
        <v>0</v>
      </c>
      <c r="S109" s="2" t="s">
        <v>3</v>
      </c>
      <c r="Y109" s="49" t="s">
        <v>20</v>
      </c>
      <c r="Z109" s="43"/>
      <c r="AA109" s="43"/>
      <c r="AB109" s="43"/>
      <c r="AC109" s="43"/>
      <c r="AG109" s="55"/>
    </row>
    <row r="110" spans="5:34" ht="15" thickBot="1" x14ac:dyDescent="0.35">
      <c r="G110" s="37" t="str">
        <f>IF(NOT(ISNUMBER(M111*M112*M113*M114*M115*N112*N113*N114*N115*O113*O114*O115*P114*P115*Q115)),"MATRIX MUST BE POSITIVE DEFINITE","")</f>
        <v/>
      </c>
      <c r="H110" s="38"/>
      <c r="I110" s="38"/>
      <c r="J110" s="38"/>
      <c r="K110" s="38"/>
      <c r="Y110" s="101"/>
      <c r="Z110" s="43"/>
      <c r="AA110" s="43"/>
      <c r="AB110" s="43"/>
      <c r="AC110" s="43"/>
      <c r="AE110" s="55"/>
      <c r="AF110" s="60" t="s">
        <v>13</v>
      </c>
      <c r="AG110" s="55"/>
    </row>
    <row r="111" spans="5:34" ht="15.6" thickTop="1" thickBot="1" x14ac:dyDescent="0.35">
      <c r="F111" s="34"/>
      <c r="G111" s="106">
        <v>1</v>
      </c>
      <c r="H111" s="29">
        <f>G112</f>
        <v>0</v>
      </c>
      <c r="I111" s="29">
        <f>G113</f>
        <v>0</v>
      </c>
      <c r="J111" s="29">
        <f>G114</f>
        <v>0</v>
      </c>
      <c r="K111" s="29">
        <f>G115</f>
        <v>0</v>
      </c>
      <c r="L111" s="36"/>
      <c r="M111" s="15">
        <f>SQRT(G111)</f>
        <v>1</v>
      </c>
      <c r="N111" s="24">
        <v>0</v>
      </c>
      <c r="O111" s="24">
        <v>0</v>
      </c>
      <c r="P111" s="24">
        <v>0</v>
      </c>
      <c r="Q111" s="25">
        <v>0</v>
      </c>
      <c r="R111" s="6"/>
      <c r="S111" s="15"/>
      <c r="T111" s="16"/>
      <c r="U111" s="16"/>
      <c r="V111" s="16"/>
      <c r="W111" s="17"/>
      <c r="X111" s="66"/>
      <c r="Y111" s="147"/>
      <c r="Z111" s="148">
        <f>Y112</f>
        <v>0.5</v>
      </c>
      <c r="AA111" s="148">
        <f>Y113</f>
        <v>0.5</v>
      </c>
      <c r="AB111" s="148">
        <f>Y114</f>
        <v>0.5</v>
      </c>
      <c r="AC111" s="149">
        <f>Y115</f>
        <v>0.5</v>
      </c>
      <c r="AE111" s="55"/>
      <c r="AF111" s="2" t="s">
        <v>11</v>
      </c>
      <c r="AG111" s="55"/>
    </row>
    <row r="112" spans="5:34" ht="15.6" thickTop="1" thickBot="1" x14ac:dyDescent="0.35">
      <c r="E112" s="47"/>
      <c r="F112" s="34"/>
      <c r="G112" s="33">
        <v>0</v>
      </c>
      <c r="H112" s="106">
        <v>1</v>
      </c>
      <c r="I112" s="29">
        <f>H113</f>
        <v>0</v>
      </c>
      <c r="J112" s="29">
        <f>H114</f>
        <v>0</v>
      </c>
      <c r="K112" s="29">
        <f>H115</f>
        <v>0</v>
      </c>
      <c r="L112" s="36"/>
      <c r="M112" s="18">
        <f>G112/M111</f>
        <v>0</v>
      </c>
      <c r="N112" s="19">
        <f>SQRT(H112-M112^2)</f>
        <v>1</v>
      </c>
      <c r="O112" s="26">
        <v>0</v>
      </c>
      <c r="P112" s="26">
        <v>0</v>
      </c>
      <c r="Q112" s="27">
        <v>0</v>
      </c>
      <c r="R112" s="6"/>
      <c r="S112" s="18">
        <f>ACOS(M112)</f>
        <v>1.5707963267948966</v>
      </c>
      <c r="T112" s="19"/>
      <c r="U112" s="19"/>
      <c r="V112" s="19"/>
      <c r="W112" s="20"/>
      <c r="X112" s="66"/>
      <c r="Y112" s="150">
        <f>IF(S112=PI()/2,0.5,IF(S112&lt;PI()/2,0.5-0.5*_xlfn.BETA.DIST(COS(S112)^2,0.5,(1+Y$116+$D$21-5-2)/2,TRUE),0.5+0.5*_xlfn.BETA.DIST(COS(S112)^2,0.5,(1+Y$116+$D$21-5-2)/2,TRUE)))</f>
        <v>0.5</v>
      </c>
      <c r="Z112" s="39"/>
      <c r="AA112" s="28">
        <f>Z113</f>
        <v>0.5</v>
      </c>
      <c r="AB112" s="28">
        <f>Z114</f>
        <v>0.5</v>
      </c>
      <c r="AC112" s="151">
        <f>Z115</f>
        <v>0.5</v>
      </c>
      <c r="AF112" s="63">
        <f>IF($G$110="",LN(MAX(2*MIN(Y112,1-Y112),$AF$26))+LN(MAX(2*MIN(Y113,1-Y113),$AF$26))+LN(MAX(2*MIN(Y114,1-Y114),$AF$26))+LN(MAX(2*MIN(Y115,1-Y115),$AF$26))+LN(MAX(2*MIN(Z113,1-Z113),$AF$26))+LN(MAX(2*MIN(Z114,1-Z114),$AF$26))+LN(MAX(2*MIN(Z115,1-Z115),$AF$26))+LN(MAX(2*MIN(AA114,1-AA114),$AF$26))+LN(MAX(2*MIN(AA115,1-AA115),$AF$26))+LN(MAX(2*MIN(AB115,1-AB115),$AF$26)),"ERR")</f>
        <v>0</v>
      </c>
      <c r="AG112" s="55"/>
    </row>
    <row r="113" spans="5:34" ht="15" thickTop="1" x14ac:dyDescent="0.3">
      <c r="F113" s="34"/>
      <c r="G113" s="33">
        <v>0</v>
      </c>
      <c r="H113" s="33">
        <v>0</v>
      </c>
      <c r="I113" s="106">
        <v>1</v>
      </c>
      <c r="J113" s="29">
        <f>I114</f>
        <v>0</v>
      </c>
      <c r="K113" s="29">
        <f>I115</f>
        <v>0</v>
      </c>
      <c r="L113" s="36"/>
      <c r="M113" s="18">
        <f>G113/M111</f>
        <v>0</v>
      </c>
      <c r="N113" s="19">
        <f>(H113-M113*M112)/N112</f>
        <v>0</v>
      </c>
      <c r="O113" s="19">
        <f>SQRT(I113-(N113^2+M113^2))</f>
        <v>1</v>
      </c>
      <c r="P113" s="26">
        <v>0</v>
      </c>
      <c r="Q113" s="27">
        <v>0</v>
      </c>
      <c r="R113" s="6"/>
      <c r="S113" s="18">
        <f>ACOS(M113)</f>
        <v>1.5707963267948966</v>
      </c>
      <c r="T113" s="19">
        <f>ACOS(N113/(SIN(S113)))</f>
        <v>1.5707963267948966</v>
      </c>
      <c r="U113" s="19"/>
      <c r="V113" s="19"/>
      <c r="W113" s="20"/>
      <c r="X113" s="66"/>
      <c r="Y113" s="150">
        <f>IF(S113=PI()/2,0.5,IF(S113&lt;PI()/2,0.5-0.5*_xlfn.BETA.DIST(COS(S113)^2,0.5,(1+Y$116+$D$21-5-2)/2,TRUE),0.5+0.5*_xlfn.BETA.DIST(COS(S113)^2,0.5,(1+Y$116+$D$21-5-2)/2,TRUE)))</f>
        <v>0.5</v>
      </c>
      <c r="Z113" s="152">
        <f>IF(T113=PI()/2,0.5,IF(T113&lt;PI()/2,0.5-0.5*_xlfn.BETA.DIST(COS(T113)^2,0.5,(1+Z$116+$D$21-5-2)/2,TRUE),0.5+0.5*_xlfn.BETA.DIST(COS(T113)^2,0.5,(1+Z$116+$D$21-5-2)/2,TRUE)))</f>
        <v>0.5</v>
      </c>
      <c r="AA113" s="39"/>
      <c r="AB113" s="28">
        <f>AA114</f>
        <v>0.5</v>
      </c>
      <c r="AC113" s="151">
        <f>AA115</f>
        <v>0.5</v>
      </c>
      <c r="AG113" s="55"/>
    </row>
    <row r="114" spans="5:34" x14ac:dyDescent="0.3">
      <c r="F114" s="34"/>
      <c r="G114" s="33">
        <v>0</v>
      </c>
      <c r="H114" s="33">
        <v>0</v>
      </c>
      <c r="I114" s="33">
        <v>0</v>
      </c>
      <c r="J114" s="106">
        <v>1</v>
      </c>
      <c r="K114" s="29">
        <f>J115</f>
        <v>0</v>
      </c>
      <c r="L114" s="36"/>
      <c r="M114" s="18">
        <f>G114/M111</f>
        <v>0</v>
      </c>
      <c r="N114" s="19">
        <f>(H114-M114*M113)/N112</f>
        <v>0</v>
      </c>
      <c r="O114" s="19">
        <f>(I114-(M113*M114+N113*N114))/O113</f>
        <v>0</v>
      </c>
      <c r="P114" s="19">
        <f>SQRT(J114-(O114^2+N114^2+M114^2))</f>
        <v>1</v>
      </c>
      <c r="Q114" s="27">
        <v>0</v>
      </c>
      <c r="R114" s="6"/>
      <c r="S114" s="18">
        <f>ACOS(M114)</f>
        <v>1.5707963267948966</v>
      </c>
      <c r="T114" s="19">
        <f>ACOS(N114/(SIN(S114)))</f>
        <v>1.5707963267948966</v>
      </c>
      <c r="U114" s="19">
        <f>ACOS(O114/(SIN(T114)*SIN(S114)))</f>
        <v>1.5707963267948966</v>
      </c>
      <c r="V114" s="19"/>
      <c r="W114" s="20"/>
      <c r="X114" s="66"/>
      <c r="Y114" s="150">
        <f>IF(S114=PI()/2,0.5,IF(S114&lt;PI()/2,0.5-0.5*_xlfn.BETA.DIST(COS(S114)^2,0.5,(1+Y$116+$D$21-5-2)/2,TRUE),0.5+0.5*_xlfn.BETA.DIST(COS(S114)^2,0.5,(1+Y$116+$D$21-5-2)/2,TRUE)))</f>
        <v>0.5</v>
      </c>
      <c r="Z114" s="152">
        <f>IF(T114=PI()/2,0.5,IF(T114&lt;PI()/2,0.5-0.5*_xlfn.BETA.DIST(COS(T114)^2,0.5,(1+Z$116+$D$21-5-2)/2,TRUE),0.5+0.5*_xlfn.BETA.DIST(COS(T114)^2,0.5,(1+Z$116+$D$21-5-2)/2,TRUE)))</f>
        <v>0.5</v>
      </c>
      <c r="AA114" s="152">
        <f>IF(U114=PI()/2,0.5,IF(U114&lt;PI()/2,0.5-0.5*_xlfn.BETA.DIST(COS(U114)^2,0.5,(1+AA$116+$D$21-5-2)/2,TRUE),0.5+0.5*_xlfn.BETA.DIST(COS(U114)^2,0.5,(1+AA$116+$D$21-5-2)/2,TRUE)))</f>
        <v>0.5</v>
      </c>
      <c r="AB114" s="39"/>
      <c r="AC114" s="151">
        <f>AB115</f>
        <v>0.5</v>
      </c>
      <c r="AE114" s="10"/>
      <c r="AG114" s="67"/>
    </row>
    <row r="115" spans="5:34" ht="15" thickBot="1" x14ac:dyDescent="0.35">
      <c r="F115" s="34"/>
      <c r="G115" s="33">
        <v>0</v>
      </c>
      <c r="H115" s="33">
        <v>0</v>
      </c>
      <c r="I115" s="33">
        <v>0</v>
      </c>
      <c r="J115" s="33">
        <v>0</v>
      </c>
      <c r="K115" s="106">
        <v>1</v>
      </c>
      <c r="L115" s="36"/>
      <c r="M115" s="21">
        <f>G115/M111</f>
        <v>0</v>
      </c>
      <c r="N115" s="22">
        <f>(H115-M115*M114)/N112</f>
        <v>0</v>
      </c>
      <c r="O115" s="22">
        <f>(I115-(M113*M115+N113*N115))/O113</f>
        <v>0</v>
      </c>
      <c r="P115" s="22">
        <f>(J115-(M114*M115+N114*N115+O114*O115))/P114</f>
        <v>0</v>
      </c>
      <c r="Q115" s="23">
        <f>SQRT(K115-(M115^2+N115^2+O115^2+P115^2))</f>
        <v>1</v>
      </c>
      <c r="R115" s="6"/>
      <c r="S115" s="21">
        <f>ACOS(M115)</f>
        <v>1.5707963267948966</v>
      </c>
      <c r="T115" s="22">
        <f>ACOS(N115/(SIN(S115)))</f>
        <v>1.5707963267948966</v>
      </c>
      <c r="U115" s="22">
        <f>ACOS(O115/(SIN(T115)*SIN(S115)))</f>
        <v>1.5707963267948966</v>
      </c>
      <c r="V115" s="22">
        <f>ACOS(P115/(SIN(U115)*SIN(T115)*SIN(S115)))</f>
        <v>1.5707963267948966</v>
      </c>
      <c r="W115" s="23"/>
      <c r="X115" s="66"/>
      <c r="Y115" s="153">
        <f>IF(S115=PI()/2,0.5,IF(S115&lt;PI()/2,0.5-0.5*_xlfn.BETA.DIST(COS(S115)^2,0.5,(1+Y$116+$D$21-5-2)/2,TRUE),0.5+0.5*_xlfn.BETA.DIST(COS(S115)^2,0.5,(1+Y$116+$D$21-5-2)/2,TRUE)))</f>
        <v>0.5</v>
      </c>
      <c r="Z115" s="154">
        <f>IF(T115=PI()/2,0.5,IF(T115&lt;PI()/2,0.5-0.5*_xlfn.BETA.DIST(COS(T115)^2,0.5,(1+Z$116+$D$21-5-2)/2,TRUE),0.5+0.5*_xlfn.BETA.DIST(COS(T115)^2,0.5,(1+Z$116+$D$21-5-2)/2,TRUE)))</f>
        <v>0.5</v>
      </c>
      <c r="AA115" s="154">
        <f>IF(U115=PI()/2,0.5,IF(U115&lt;PI()/2,0.5-0.5*_xlfn.BETA.DIST(COS(U115)^2,0.5,(1+AA$116+$D$21-5-2)/2,TRUE),0.5+0.5*_xlfn.BETA.DIST(COS(U115)^2,0.5,(1+AA$116+$D$21-5-2)/2,TRUE)))</f>
        <v>0.5</v>
      </c>
      <c r="AB115" s="154">
        <f>IF(V115=PI()/2,0.5,IF(V115&lt;PI()/2,0.5-0.5*_xlfn.BETA.DIST(COS(V115)^2,0.5,(1+AB$116+$D$21-5-2)/2,TRUE),0.5+0.5*_xlfn.BETA.DIST(COS(V115)^2,0.5,(1+AB$116+$D$21-5-2)/2,TRUE)))</f>
        <v>0.5</v>
      </c>
      <c r="AC115" s="155"/>
      <c r="AE115" s="80"/>
      <c r="AF115" s="81"/>
      <c r="AG115" s="45"/>
    </row>
    <row r="116" spans="5:34" ht="15" thickTop="1" x14ac:dyDescent="0.3">
      <c r="G116" s="35"/>
      <c r="H116" s="35"/>
      <c r="I116" s="35"/>
      <c r="J116" s="35"/>
      <c r="K116" s="35"/>
      <c r="L116" s="14"/>
      <c r="M116" s="6"/>
      <c r="N116" s="6"/>
      <c r="O116" s="6"/>
      <c r="P116" s="6"/>
      <c r="R116" s="14"/>
      <c r="S116" s="6"/>
      <c r="T116" s="6"/>
      <c r="U116" s="6"/>
      <c r="V116" s="6"/>
      <c r="X116" s="14" t="s">
        <v>2</v>
      </c>
      <c r="Y116" s="26">
        <v>4</v>
      </c>
      <c r="Z116" s="26">
        <v>3</v>
      </c>
      <c r="AA116" s="26">
        <v>2</v>
      </c>
      <c r="AB116" s="26">
        <v>1</v>
      </c>
      <c r="AC116" s="43"/>
      <c r="AE116" s="80"/>
      <c r="AF116" s="81"/>
      <c r="AG116" s="45"/>
    </row>
    <row r="117" spans="5:34" x14ac:dyDescent="0.3">
      <c r="Y117" s="43"/>
      <c r="Z117" s="43"/>
      <c r="AA117" s="43"/>
      <c r="AB117" s="43"/>
      <c r="AC117" s="43"/>
      <c r="AE117" s="82"/>
      <c r="AF117" s="83"/>
    </row>
    <row r="118" spans="5:34" x14ac:dyDescent="0.3">
      <c r="G118" s="10" t="s">
        <v>1</v>
      </c>
      <c r="N118" s="57"/>
      <c r="Y118" s="101" t="s">
        <v>17</v>
      </c>
      <c r="Z118" s="43"/>
      <c r="AA118" s="43"/>
      <c r="AB118" s="102"/>
      <c r="AC118" s="43"/>
      <c r="AE118" s="82"/>
      <c r="AF118" s="83"/>
    </row>
    <row r="119" spans="5:34" x14ac:dyDescent="0.3">
      <c r="G119" s="2" t="s">
        <v>19</v>
      </c>
      <c r="M119" s="2" t="s">
        <v>3</v>
      </c>
      <c r="S119" s="2" t="s">
        <v>0</v>
      </c>
      <c r="Y119" s="49" t="s">
        <v>8</v>
      </c>
      <c r="Z119" s="43"/>
      <c r="AA119" s="43"/>
      <c r="AB119" s="43"/>
      <c r="AC119" s="43"/>
      <c r="AE119" s="82"/>
      <c r="AF119" s="83"/>
    </row>
    <row r="120" spans="5:34" ht="15" thickBot="1" x14ac:dyDescent="0.35">
      <c r="G120" s="37" t="str">
        <f>IF(OR(NOT(AND($AF$26&lt;G122,G122&lt;(1-$AF$26))),NOT(AND($AF$26&lt;G123,G123&lt;(1-$AF$26))),NOT(AND($AF$26&lt;G124,G124&lt;(1-$AF$26))),NOT(AND($AF$26&lt;G125,G125&lt;(1-$AF$26))),NOT(AND($AF$26&lt;H123,H123&lt;(1-$AF$26))),NOT(AND($AF$26&lt;H124,H124&lt;(1-$AF$26))),NOT(AND($AF$26&lt;H125,H125&lt;(1-$AF$26))),NOT(AND($AF$26&lt;I124,I124&lt;(1-$AF$26))),NOT(AND($AF$26&lt;I125,I125&lt;(1-$AF$26))),NOT(AND($AF$26&lt;J125,J125&lt;(1-$AF$26)))),"ALL CELLS MUST BE 1E-16&lt;#&lt;[1.0 - 1E-16].","")</f>
        <v/>
      </c>
      <c r="H120" s="38"/>
      <c r="I120" s="38"/>
      <c r="J120" s="38"/>
      <c r="K120" s="38"/>
      <c r="Y120" s="37" t="str">
        <f>IF(NOT(ISNUMBER(S121*S122*S123*S124*S125*T122*T123*T124*T125*U123*U124*U125*V124*V125*W125)),"MATRIX MUST BE POSITIVE DEFINITE","")</f>
        <v/>
      </c>
      <c r="Z120" s="43"/>
      <c r="AA120" s="43"/>
      <c r="AB120" s="43"/>
      <c r="AC120" s="43"/>
      <c r="AE120" s="58"/>
      <c r="AF120" s="60" t="s">
        <v>13</v>
      </c>
      <c r="AG120" s="55"/>
    </row>
    <row r="121" spans="5:34" ht="15.6" thickTop="1" thickBot="1" x14ac:dyDescent="0.35">
      <c r="F121" s="34"/>
      <c r="G121" s="39"/>
      <c r="H121" s="29">
        <f>G122</f>
        <v>2.5580984459118716E-3</v>
      </c>
      <c r="I121" s="29">
        <f>G123</f>
        <v>2.5580984459118716E-3</v>
      </c>
      <c r="J121" s="29">
        <f>G124</f>
        <v>2.5580984459118716E-3</v>
      </c>
      <c r="K121" s="29">
        <f>G125</f>
        <v>2.5580984459118699E-3</v>
      </c>
      <c r="L121" s="36"/>
      <c r="M121" s="15"/>
      <c r="N121" s="16"/>
      <c r="O121" s="16"/>
      <c r="P121" s="16"/>
      <c r="Q121" s="17"/>
      <c r="R121" s="6"/>
      <c r="S121" s="15">
        <v>1</v>
      </c>
      <c r="T121" s="24">
        <v>0</v>
      </c>
      <c r="U121" s="24">
        <v>0</v>
      </c>
      <c r="V121" s="24">
        <v>0</v>
      </c>
      <c r="W121" s="25">
        <v>0</v>
      </c>
      <c r="X121" s="66"/>
      <c r="Y121" s="156">
        <f>SUMPRODUCT($S121:$W121,$S$121:$W$121)</f>
        <v>1</v>
      </c>
      <c r="Z121" s="148">
        <f>SUMPRODUCT($S121:$W121,$S$122:$W$122)</f>
        <v>0.17585763224056894</v>
      </c>
      <c r="AA121" s="148">
        <f>SUMPRODUCT($S121:$W121,$S$123:$W$123)</f>
        <v>0.17585763224056894</v>
      </c>
      <c r="AB121" s="148">
        <f>SUMPRODUCT($S121:$W121,$S$124:$W$124)</f>
        <v>0.17585763224056894</v>
      </c>
      <c r="AC121" s="149">
        <f>SUMPRODUCT($S121:$W121,$S$125:$W$125)</f>
        <v>0.17585763224056894</v>
      </c>
      <c r="AE121" s="58"/>
      <c r="AF121" s="61" t="s">
        <v>11</v>
      </c>
      <c r="AG121" s="55"/>
    </row>
    <row r="122" spans="5:34" ht="15.6" thickTop="1" thickBot="1" x14ac:dyDescent="0.35">
      <c r="E122" s="57"/>
      <c r="F122" s="34"/>
      <c r="G122" s="33">
        <v>2.5580984459118716E-3</v>
      </c>
      <c r="H122" s="39"/>
      <c r="I122" s="29">
        <f>H123</f>
        <v>2.5580984459118699E-3</v>
      </c>
      <c r="J122" s="29">
        <f>H124</f>
        <v>2.5580984459118699E-3</v>
      </c>
      <c r="K122" s="29">
        <f>H125</f>
        <v>2.5580984459118699E-3</v>
      </c>
      <c r="L122" s="36"/>
      <c r="M122" s="18">
        <f>IF(G122=0.5,PI()/2,IF(G122&lt;0.5,ACOS(SQRT(_xlfn.BETA.INV(1-2*G122,0.5,(1+M$126+$D$21-5-2)/2))),PI()-ACOS(SQRT(_xlfn.BETA.INV(1-2*(1-G122),0.5,(1+M$126+$D$21-5-2)/2)))))</f>
        <v>1.3940194167961579</v>
      </c>
      <c r="N122" s="19"/>
      <c r="O122" s="19"/>
      <c r="P122" s="19"/>
      <c r="Q122" s="20"/>
      <c r="R122" s="6"/>
      <c r="S122" s="18">
        <f>COS(M122)</f>
        <v>0.17585763224056894</v>
      </c>
      <c r="T122" s="19">
        <f>SIN(M122)</f>
        <v>0.98441560998530531</v>
      </c>
      <c r="U122" s="26">
        <v>0</v>
      </c>
      <c r="V122" s="26">
        <v>0</v>
      </c>
      <c r="W122" s="27">
        <v>0</v>
      </c>
      <c r="X122" s="66"/>
      <c r="Y122" s="157">
        <f>SUMPRODUCT($S122:$W122,$S$121:$W$121)</f>
        <v>0.17585763224056894</v>
      </c>
      <c r="Z122" s="106">
        <f>SUMPRODUCT($S122:$W122,$S$122:$W$122)</f>
        <v>0.99999999999999989</v>
      </c>
      <c r="AA122" s="28">
        <f>SUMPRODUCT($S122:$W122,$S$123:$W$123)</f>
        <v>0.20168216032013719</v>
      </c>
      <c r="AB122" s="28">
        <f>SUMPRODUCT($S122:$W122,$S$124:$W$124)</f>
        <v>0.20168216032013719</v>
      </c>
      <c r="AC122" s="151">
        <f>SUMPRODUCT($S122:$W122,$S$125:$W$125)</f>
        <v>0.20168216032013719</v>
      </c>
      <c r="AF122" s="64">
        <f>IF($G$120="",LN(MAX(2*MIN(G122,1-G122),$AF$26))+LN(MAX(2*MIN(G123,1-G123),$AF$26))+LN(MAX(2*MIN(G124,1-G124),$AF$26))+LN(MAX(2*MIN(G125,1-G125),$AF$26))+LN(MAX(2*MIN(H123,1-H123),$AF$26))+LN(MAX(2*MIN(H124,1-H124),$AF$26))+LN(MAX(2*MIN(H125,1-H125),$AF$26))+LN(MAX(2*MIN(I124,1-I124),$AF$26))+LN(MAX(2*MIN(I125,1-I125),$AF$26))+LN(MAX(2*MIN(J125,1-J125),$AF$26)),"ERR")</f>
        <v>-52.753439105049658</v>
      </c>
      <c r="AG122" s="55"/>
    </row>
    <row r="123" spans="5:34" ht="15" thickTop="1" x14ac:dyDescent="0.3">
      <c r="E123" s="47"/>
      <c r="F123" s="34"/>
      <c r="G123" s="33">
        <v>2.5580984459118716E-3</v>
      </c>
      <c r="H123" s="33">
        <v>2.5580984459118699E-3</v>
      </c>
      <c r="I123" s="39"/>
      <c r="J123" s="29">
        <f>I124</f>
        <v>2.5580984459118699E-3</v>
      </c>
      <c r="K123" s="29">
        <f>I125</f>
        <v>2.5580984459118699E-3</v>
      </c>
      <c r="L123" s="36"/>
      <c r="M123" s="18">
        <f>IF(G123=0.5,PI()/2,IF(G123&lt;0.5,ACOS(SQRT(_xlfn.BETA.INV(1-2*G123,0.5,(1+M$126+$D$21-5-2)/2))),PI()-ACOS(SQRT(_xlfn.BETA.INV(1-2*(1-G123),0.5,(1+M$126+$D$21-5-2)/2)))))</f>
        <v>1.3940194167961579</v>
      </c>
      <c r="N123" s="57">
        <f>IF(H123=0.5,PI()/2,IF(H123&lt;0.5,ACOS(SQRT(_xlfn.BETA.INV(1-2*H123,0.5,(1+N$126+$D$21-5-2)/2))),PI()-ACOS(SQRT(_xlfn.BETA.INV(1-2*(1-H123),0.5,(1+N$126+$D$21-5-2)/2)))))</f>
        <v>1.3936659590624945</v>
      </c>
      <c r="O123" s="19"/>
      <c r="P123" s="59"/>
      <c r="Q123" s="20"/>
      <c r="R123" s="6"/>
      <c r="S123" s="18">
        <f>COS(M123)</f>
        <v>0.17585763224056894</v>
      </c>
      <c r="T123" s="19">
        <f>COS(N123)*SIN(M123)</f>
        <v>0.17345951422430911</v>
      </c>
      <c r="U123" s="19">
        <f>SIN(N123)*SIN(M123)</f>
        <v>0.96901284310777192</v>
      </c>
      <c r="V123" s="26">
        <v>0</v>
      </c>
      <c r="W123" s="27">
        <v>0</v>
      </c>
      <c r="X123" s="66"/>
      <c r="Y123" s="157">
        <f>SUMPRODUCT($S123:$W123,$S$121:$W$121)</f>
        <v>0.17585763224056894</v>
      </c>
      <c r="Z123" s="28">
        <f>SUMPRODUCT($S123:$W123,$S$122:$W$122)</f>
        <v>0.20168216032013719</v>
      </c>
      <c r="AA123" s="106">
        <f>SUMPRODUCT($S123:$W123,$S$123:$W$123)</f>
        <v>0.99999999999999989</v>
      </c>
      <c r="AB123" s="28">
        <f>SUMPRODUCT($S123:$W123,$S$124:$W$124)</f>
        <v>0.22679731024697336</v>
      </c>
      <c r="AC123" s="151">
        <f>SUMPRODUCT($S123:$W123,$S$125:$W$125)</f>
        <v>0.22679731024697336</v>
      </c>
      <c r="AG123" s="55"/>
    </row>
    <row r="124" spans="5:34" x14ac:dyDescent="0.3">
      <c r="F124" s="34"/>
      <c r="G124" s="33">
        <v>2.5580984459118716E-3</v>
      </c>
      <c r="H124" s="33">
        <v>2.5580984459118699E-3</v>
      </c>
      <c r="I124" s="33">
        <v>2.5580984459118699E-3</v>
      </c>
      <c r="J124" s="39"/>
      <c r="K124" s="29">
        <f>J125</f>
        <v>2.5580984459118699E-3</v>
      </c>
      <c r="L124" s="36"/>
      <c r="M124" s="18">
        <f>IF(G124=0.5,PI()/2,IF(G124&lt;0.5,ACOS(SQRT(_xlfn.BETA.INV(1-2*G124,0.5,(1+M$126+$D$21-5-2)/2))),PI()-ACOS(SQRT(_xlfn.BETA.INV(1-2*(1-G124),0.5,(1+M$126+$D$21-5-2)/2)))))</f>
        <v>1.3940194167961579</v>
      </c>
      <c r="N124" s="19">
        <f>IF(H124=0.5,PI()/2,IF(H124&lt;0.5,ACOS(SQRT(_xlfn.BETA.INV(1-2*H124,0.5,(1+N$126+$D$21-5-2)/2))),PI()-ACOS(SQRT(_xlfn.BETA.INV(1-2*(1-H124),0.5,(1+N$126+$D$21-5-2)/2)))))</f>
        <v>1.3936659590624945</v>
      </c>
      <c r="O124" s="19">
        <f>IF(I124=0.5,PI()/2,IF(I124&lt;0.5,ACOS(SQRT(_xlfn.BETA.INV(1-2*I124,0.5,(1+O$126+$D$21-5-2)/2))),PI()-ACOS(SQRT(_xlfn.BETA.INV(1-2*(1-I124),0.5,(1+O$126+$D$21-5-2)/2)))))</f>
        <v>1.3933103727136689</v>
      </c>
      <c r="P124" s="19"/>
      <c r="Q124" s="20"/>
      <c r="R124" s="6"/>
      <c r="S124" s="18">
        <f>COS(M124)</f>
        <v>0.17585763224056894</v>
      </c>
      <c r="T124" s="19">
        <f>COS(N124)*SIN(M124)</f>
        <v>0.17345951422430911</v>
      </c>
      <c r="U124" s="19">
        <f>COS(O124)*SIN(N124)*SIN(M124)</f>
        <v>0.17108462651855971</v>
      </c>
      <c r="V124" s="19">
        <f>SIN(O124)*SIN(N124)*SIN(M124)</f>
        <v>0.95379030225559125</v>
      </c>
      <c r="W124" s="27">
        <v>0</v>
      </c>
      <c r="X124" s="66"/>
      <c r="Y124" s="157">
        <f>SUMPRODUCT($S124:$W124,$S$121:$W$121)</f>
        <v>0.17585763224056894</v>
      </c>
      <c r="Z124" s="28">
        <f>SUMPRODUCT($S124:$W124,$S$122:$W$122)</f>
        <v>0.20168216032013719</v>
      </c>
      <c r="AA124" s="28">
        <f>SUMPRODUCT($S124:$W124,$S$123:$W$123)</f>
        <v>0.22679731024697336</v>
      </c>
      <c r="AB124" s="106">
        <f>SUMPRODUCT($S124:$W124,$S$124:$W$124)</f>
        <v>0.99999999999999967</v>
      </c>
      <c r="AC124" s="151">
        <f>SUMPRODUCT($S124:$W124,$S$125:$W$125)</f>
        <v>0.25121980253402953</v>
      </c>
      <c r="AE124" s="10"/>
      <c r="AG124" s="67"/>
    </row>
    <row r="125" spans="5:34" ht="15" thickBot="1" x14ac:dyDescent="0.35">
      <c r="F125" s="34"/>
      <c r="G125" s="33">
        <v>2.5580984459118699E-3</v>
      </c>
      <c r="H125" s="33">
        <v>2.5580984459118699E-3</v>
      </c>
      <c r="I125" s="33">
        <v>2.5580984459118699E-3</v>
      </c>
      <c r="J125" s="33">
        <v>2.5580984459118699E-3</v>
      </c>
      <c r="K125" s="39"/>
      <c r="L125" s="36"/>
      <c r="M125" s="21">
        <f>IF(G125=0.5,PI()/2,IF(G125&lt;0.5,ACOS(SQRT(_xlfn.BETA.INV(1-2*G125,0.5,(1+M$126+$D$21-5-2)/2))),PI()-ACOS(SQRT(_xlfn.BETA.INV(1-2*(1-G125),0.5,(1+M$126+$D$21-5-2)/2)))))</f>
        <v>1.3940194167961579</v>
      </c>
      <c r="N125" s="22">
        <f>IF(H125=0.5,PI()/2,IF(H125&lt;0.5,ACOS(SQRT(_xlfn.BETA.INV(1-2*H125,0.5,(1+N$126+$D$21-5-2)/2))),PI()-ACOS(SQRT(_xlfn.BETA.INV(1-2*(1-H125),0.5,(1+N$126+$D$21-5-2)/2)))))</f>
        <v>1.3936659590624945</v>
      </c>
      <c r="O125" s="22">
        <f>IF(I125=0.5,PI()/2,IF(I125&lt;0.5,ACOS(SQRT(_xlfn.BETA.INV(1-2*I125,0.5,(1+O$126+$D$21-5-2)/2))),PI()-ACOS(SQRT(_xlfn.BETA.INV(1-2*(1-I125),0.5,(1+O$126+$D$21-5-2)/2)))))</f>
        <v>1.3933103727136689</v>
      </c>
      <c r="P125" s="22">
        <f>IF(J125=0.5,PI()/2,IF(J125&lt;0.5,ACOS(SQRT(_xlfn.BETA.INV(1-2*J125,0.5,(1+P$126+$D$21-5-2)/2))),PI()-ACOS(SQRT(_xlfn.BETA.INV(1-2*(1-J125),0.5,(1+P$126+$D$21-5-2)/2)))))</f>
        <v>1.3929526362991158</v>
      </c>
      <c r="Q125" s="23"/>
      <c r="R125" s="6"/>
      <c r="S125" s="21">
        <f>COS(M125)</f>
        <v>0.17585763224056894</v>
      </c>
      <c r="T125" s="22">
        <f>COS(N125)*SIN(M125)</f>
        <v>0.17345951422430911</v>
      </c>
      <c r="U125" s="22">
        <f>COS(O125)*SIN(N125)*SIN(M125)</f>
        <v>0.17108462651855971</v>
      </c>
      <c r="V125" s="22">
        <f>COS(P125)*SIN(O125)*SIN(N125)*SIN(M125)</f>
        <v>0.16873283658918492</v>
      </c>
      <c r="W125" s="23">
        <f>SIN(P125)*SIN(O125)*SIN(N125)*SIN(M125)</f>
        <v>0.93874659548430839</v>
      </c>
      <c r="X125" s="66"/>
      <c r="Y125" s="158">
        <f>SUMPRODUCT($S125:$W125,$S$121:$W$121)</f>
        <v>0.17585763224056894</v>
      </c>
      <c r="Z125" s="159">
        <f>SUMPRODUCT($S125:$W125,$S$122:$W$122)</f>
        <v>0.20168216032013719</v>
      </c>
      <c r="AA125" s="159">
        <f>SUMPRODUCT($S125:$W125,$S$123:$W$123)</f>
        <v>0.22679731024697336</v>
      </c>
      <c r="AB125" s="159">
        <f>SUMPRODUCT($S125:$W125,$S$124:$W$124)</f>
        <v>0.25121980253402953</v>
      </c>
      <c r="AC125" s="160">
        <f>SUMPRODUCT($S125:$W125,$S$125:$W$125)</f>
        <v>0.99999999999999978</v>
      </c>
      <c r="AE125" s="84"/>
      <c r="AF125" s="81"/>
      <c r="AG125" s="45"/>
    </row>
    <row r="126" spans="5:34" ht="15" thickTop="1" x14ac:dyDescent="0.3">
      <c r="G126" s="35"/>
      <c r="H126" s="35"/>
      <c r="I126" s="35"/>
      <c r="J126" s="35"/>
      <c r="K126" s="35"/>
      <c r="L126" s="14" t="s">
        <v>2</v>
      </c>
      <c r="M126" s="6">
        <v>4</v>
      </c>
      <c r="N126" s="6">
        <v>3</v>
      </c>
      <c r="O126" s="6">
        <v>2</v>
      </c>
      <c r="P126" s="6">
        <v>1</v>
      </c>
      <c r="X126" s="14"/>
      <c r="Y126" s="6"/>
      <c r="Z126" s="6"/>
      <c r="AA126" s="6"/>
      <c r="AB126" s="6"/>
      <c r="AE126" s="84"/>
      <c r="AF126" s="81"/>
      <c r="AG126" s="45"/>
    </row>
    <row r="127" spans="5:34" x14ac:dyDescent="0.3">
      <c r="L127" s="14"/>
      <c r="M127" s="6"/>
      <c r="N127" s="6"/>
      <c r="O127" s="6"/>
      <c r="P127" s="6"/>
      <c r="R127" s="14"/>
      <c r="S127" s="6"/>
      <c r="T127" s="6"/>
      <c r="U127" s="6"/>
      <c r="V127" s="6"/>
      <c r="X127" s="14"/>
      <c r="Y127" s="6"/>
      <c r="Z127" s="6"/>
      <c r="AA127" s="6"/>
      <c r="AB127" s="6"/>
      <c r="AE127" s="80"/>
      <c r="AF127" s="81"/>
      <c r="AG127" s="45"/>
      <c r="AH127" s="55"/>
    </row>
    <row r="128" spans="5:34" x14ac:dyDescent="0.3">
      <c r="L128" s="14"/>
      <c r="M128" s="6"/>
      <c r="N128" s="6"/>
      <c r="O128" s="6"/>
      <c r="P128" s="6"/>
      <c r="R128" s="14"/>
      <c r="S128" s="6"/>
      <c r="T128" s="6"/>
      <c r="U128" s="6"/>
      <c r="V128" s="6"/>
      <c r="X128" s="14"/>
      <c r="Y128" s="6"/>
      <c r="Z128" s="6"/>
      <c r="AA128" s="6"/>
      <c r="AB128" s="6"/>
      <c r="AE128" s="80"/>
      <c r="AF128" s="81"/>
      <c r="AG128" s="45"/>
      <c r="AH128" s="55"/>
    </row>
    <row r="129" spans="7:34" x14ac:dyDescent="0.3">
      <c r="L129" s="14"/>
      <c r="M129" s="6"/>
      <c r="N129" s="6"/>
      <c r="O129" s="6"/>
      <c r="P129" s="6"/>
      <c r="R129" s="14"/>
      <c r="S129" s="6"/>
      <c r="T129" s="6"/>
      <c r="U129" s="6"/>
      <c r="V129" s="6"/>
      <c r="X129" s="14"/>
      <c r="Y129" s="6"/>
      <c r="Z129" s="6"/>
      <c r="AA129" s="6"/>
      <c r="AB129" s="6"/>
      <c r="AE129" s="80"/>
      <c r="AF129" s="81"/>
      <c r="AG129" s="45"/>
      <c r="AH129" s="55"/>
    </row>
    <row r="130" spans="7:34" x14ac:dyDescent="0.3">
      <c r="AG130" s="55"/>
      <c r="AH130" s="55"/>
    </row>
    <row r="131" spans="7:34" x14ac:dyDescent="0.3">
      <c r="AG131" s="55"/>
      <c r="AH131" s="55"/>
    </row>
    <row r="132" spans="7:34" x14ac:dyDescent="0.3">
      <c r="AG132" s="55"/>
      <c r="AH132" s="55"/>
    </row>
    <row r="133" spans="7:34" x14ac:dyDescent="0.3">
      <c r="M133" s="2"/>
      <c r="N133" s="2"/>
      <c r="AG133" s="55"/>
      <c r="AH133" s="55"/>
    </row>
    <row r="134" spans="7:34" x14ac:dyDescent="0.3">
      <c r="M134" s="2"/>
      <c r="N134" s="2"/>
      <c r="AG134" s="55"/>
      <c r="AH134" s="55"/>
    </row>
    <row r="135" spans="7:34" x14ac:dyDescent="0.3">
      <c r="G135" s="95"/>
      <c r="M135" s="2"/>
      <c r="N135" s="2"/>
      <c r="AG135" s="55"/>
      <c r="AH135" s="55"/>
    </row>
    <row r="136" spans="7:34" x14ac:dyDescent="0.3">
      <c r="G136" s="91"/>
      <c r="M136" s="2"/>
      <c r="N136" s="2"/>
    </row>
    <row r="137" spans="7:34" x14ac:dyDescent="0.3">
      <c r="G137" s="2"/>
      <c r="M137" s="2"/>
      <c r="N137" s="2"/>
    </row>
    <row r="139" spans="7:34" x14ac:dyDescent="0.3">
      <c r="G139" s="43"/>
      <c r="M139" s="12"/>
      <c r="P139" s="12"/>
    </row>
    <row r="142" spans="7:34" x14ac:dyDescent="0.3">
      <c r="G142" s="43"/>
    </row>
    <row r="149" spans="7:17" x14ac:dyDescent="0.3">
      <c r="M149" s="12"/>
      <c r="N149" s="105"/>
      <c r="P149" s="12"/>
      <c r="Q149" s="105"/>
    </row>
    <row r="150" spans="7:17" x14ac:dyDescent="0.3">
      <c r="G150" s="43"/>
      <c r="H150" s="43"/>
      <c r="I150" s="43"/>
    </row>
    <row r="151" spans="7:17" x14ac:dyDescent="0.3">
      <c r="G151" s="43"/>
      <c r="H151" s="43"/>
      <c r="I151" s="43"/>
    </row>
  </sheetData>
  <sheetProtection algorithmName="SHA-512" hashValue="pm+WUqLpr+rd00aKm7eniJTfRddNdrnrxHJGC9nAVH1vxAA/Xmsvvps8SDWPKCLjrXolaGfPhFK4MlQYMvoSLg==" saltValue="7sHMSYzzLKY8aNLrwkWaUA==" spinCount="100000" sheet="1" objects="1" scenarios="1"/>
  <mergeCells count="9">
    <mergeCell ref="S19:U19"/>
    <mergeCell ref="V18:W18"/>
    <mergeCell ref="AB18:AC18"/>
    <mergeCell ref="S18:U18"/>
    <mergeCell ref="Y17:AA17"/>
    <mergeCell ref="V19:W19"/>
    <mergeCell ref="Y19:AA19"/>
    <mergeCell ref="AB19:AC19"/>
    <mergeCell ref="Y18:AA18"/>
  </mergeCells>
  <pageMargins left="0.7" right="0.7" top="0.75" bottom="0.75" header="0.3" footer="0.3"/>
  <pageSetup orientation="portrait" r:id="rId1"/>
  <ignoredErrors>
    <ignoredError sqref="G77:J82 G70:J74 G99:J102 G90:J93 H76:J76" unlockedFormula="1"/>
    <ignoredError sqref="V42:AA4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 method mat p-val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jdopdyke</dc:creator>
  <cp:lastModifiedBy>J.D. Opdyke</cp:lastModifiedBy>
  <dcterms:created xsi:type="dcterms:W3CDTF">2022-03-12T16:14:34Z</dcterms:created>
  <dcterms:modified xsi:type="dcterms:W3CDTF">2026-01-27T11:29:30Z</dcterms:modified>
</cp:coreProperties>
</file>